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elmo_cunha\Documents\CCDRC\CCDRC_PLANEAMENTO\CCDRC_2024\RAA 2024\RAA2024_DOCS\"/>
    </mc:Choice>
  </mc:AlternateContent>
  <xr:revisionPtr revIDLastSave="0" documentId="13_ncr:1_{35ECB613-B9DB-4898-AC67-3C5987D232B7}" xr6:coauthVersionLast="36" xr6:coauthVersionMax="36" xr10:uidLastSave="{00000000-0000-0000-0000-000000000000}"/>
  <bookViews>
    <workbookView xWindow="0" yWindow="0" windowWidth="28800" windowHeight="10725" xr2:uid="{1B442C05-0913-4B21-A184-14CC800A921B}"/>
  </bookViews>
  <sheets>
    <sheet name="QUAR2024" sheetId="1" r:id="rId1"/>
    <sheet name="OE_OP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1" i="1"/>
  <c r="P10" i="1"/>
  <c r="P9" i="1"/>
  <c r="P8" i="1"/>
  <c r="P7" i="1"/>
  <c r="E17" i="3"/>
  <c r="E18" i="3" s="1"/>
  <c r="E15" i="3"/>
  <c r="E16" i="3" s="1"/>
  <c r="E14" i="3"/>
  <c r="E13" i="3"/>
  <c r="E12" i="3"/>
  <c r="E11" i="3"/>
  <c r="E9" i="3"/>
  <c r="E10" i="3" s="1"/>
  <c r="E8" i="3"/>
  <c r="E7" i="3"/>
  <c r="E5" i="3"/>
  <c r="E6" i="3" s="1"/>
  <c r="E4" i="3"/>
  <c r="E2" i="3"/>
  <c r="E3" i="3" s="1"/>
  <c r="E19" i="3" l="1"/>
  <c r="O119" i="1"/>
  <c r="K118" i="1"/>
  <c r="O117" i="1"/>
  <c r="P116" i="1"/>
  <c r="O116" i="1"/>
  <c r="H116" i="1"/>
  <c r="P115" i="1"/>
  <c r="O115" i="1"/>
  <c r="H115" i="1"/>
  <c r="P114" i="1"/>
  <c r="O114" i="1"/>
  <c r="H114" i="1"/>
  <c r="P113" i="1"/>
  <c r="O113" i="1"/>
  <c r="H113" i="1"/>
  <c r="N112" i="1"/>
  <c r="M112" i="1"/>
  <c r="L112" i="1"/>
  <c r="J112" i="1"/>
  <c r="P111" i="1"/>
  <c r="O111" i="1"/>
  <c r="P110" i="1"/>
  <c r="O110" i="1"/>
  <c r="P109" i="1"/>
  <c r="O109" i="1"/>
  <c r="P108" i="1"/>
  <c r="O108" i="1"/>
  <c r="N107" i="1"/>
  <c r="M107" i="1"/>
  <c r="L107" i="1"/>
  <c r="J107" i="1"/>
  <c r="H107" i="1"/>
  <c r="J101" i="1"/>
  <c r="G101" i="1"/>
  <c r="M100" i="1"/>
  <c r="K100" i="1"/>
  <c r="I100" i="1"/>
  <c r="H100" i="1"/>
  <c r="M99" i="1"/>
  <c r="K99" i="1"/>
  <c r="I99" i="1"/>
  <c r="H99" i="1"/>
  <c r="M98" i="1"/>
  <c r="K98" i="1"/>
  <c r="I98" i="1"/>
  <c r="H98" i="1"/>
  <c r="M97" i="1"/>
  <c r="K97" i="1"/>
  <c r="I97" i="1"/>
  <c r="H97" i="1"/>
  <c r="M96" i="1"/>
  <c r="K96" i="1"/>
  <c r="I96" i="1"/>
  <c r="H96" i="1"/>
  <c r="M95" i="1"/>
  <c r="K95" i="1"/>
  <c r="I95" i="1"/>
  <c r="H95" i="1"/>
  <c r="M94" i="1"/>
  <c r="K94" i="1"/>
  <c r="I94" i="1"/>
  <c r="H94" i="1"/>
  <c r="M93" i="1"/>
  <c r="K93" i="1"/>
  <c r="I93" i="1"/>
  <c r="H93" i="1"/>
  <c r="N88" i="1"/>
  <c r="F88" i="1"/>
  <c r="O69" i="1"/>
  <c r="M69" i="1"/>
  <c r="K69" i="1"/>
  <c r="N65" i="1"/>
  <c r="P65" i="1" s="1"/>
  <c r="N64" i="1"/>
  <c r="P64" i="1" s="1"/>
  <c r="N60" i="1"/>
  <c r="P61" i="1" s="1"/>
  <c r="K86" i="1" s="1"/>
  <c r="N56" i="1"/>
  <c r="P57" i="1" s="1"/>
  <c r="K85" i="1" s="1"/>
  <c r="N51" i="1"/>
  <c r="P52" i="1" s="1"/>
  <c r="K83" i="1" s="1"/>
  <c r="N47" i="1"/>
  <c r="P48" i="1" s="1"/>
  <c r="K82" i="1" s="1"/>
  <c r="N43" i="1"/>
  <c r="P44" i="1" s="1"/>
  <c r="K81" i="1" s="1"/>
  <c r="N38" i="1"/>
  <c r="P38" i="1" s="1"/>
  <c r="N37" i="1"/>
  <c r="N33" i="1"/>
  <c r="O33" i="1" s="1"/>
  <c r="N32" i="1"/>
  <c r="O32" i="1" s="1"/>
  <c r="N28" i="1"/>
  <c r="P28" i="1" s="1"/>
  <c r="N27" i="1"/>
  <c r="P27" i="1" s="1"/>
  <c r="N23" i="1"/>
  <c r="O23" i="1" s="1"/>
  <c r="N22" i="1"/>
  <c r="P22" i="1" s="1"/>
  <c r="N18" i="1"/>
  <c r="O18" i="1" s="1"/>
  <c r="N17" i="1"/>
  <c r="O17" i="1" s="1"/>
  <c r="P100" i="1" l="1"/>
  <c r="P95" i="1"/>
  <c r="P98" i="1"/>
  <c r="P94" i="1"/>
  <c r="O27" i="1"/>
  <c r="M118" i="1"/>
  <c r="P93" i="1"/>
  <c r="P39" i="1"/>
  <c r="K79" i="1" s="1"/>
  <c r="M79" i="1" s="1"/>
  <c r="J118" i="1"/>
  <c r="P29" i="1"/>
  <c r="K77" i="1" s="1"/>
  <c r="M77" i="1" s="1"/>
  <c r="P99" i="1"/>
  <c r="N118" i="1"/>
  <c r="O118" i="1" s="1"/>
  <c r="L94" i="1"/>
  <c r="O94" i="1" s="1"/>
  <c r="H112" i="1"/>
  <c r="H118" i="1" s="1"/>
  <c r="P96" i="1"/>
  <c r="L118" i="1"/>
  <c r="P23" i="1"/>
  <c r="L93" i="1"/>
  <c r="O93" i="1" s="1"/>
  <c r="P17" i="1"/>
  <c r="O28" i="1"/>
  <c r="H101" i="1"/>
  <c r="O65" i="1"/>
  <c r="L96" i="1"/>
  <c r="O96" i="1" s="1"/>
  <c r="P107" i="1"/>
  <c r="I101" i="1"/>
  <c r="O107" i="1"/>
  <c r="O112" i="1"/>
  <c r="P34" i="1"/>
  <c r="K78" i="1" s="1"/>
  <c r="M78" i="1" s="1"/>
  <c r="P32" i="1"/>
  <c r="M101" i="1"/>
  <c r="P97" i="1"/>
  <c r="L97" i="1"/>
  <c r="O97" i="1" s="1"/>
  <c r="P33" i="1"/>
  <c r="L77" i="1"/>
  <c r="M81" i="1"/>
  <c r="L81" i="1"/>
  <c r="M82" i="1"/>
  <c r="L82" i="1"/>
  <c r="L83" i="1"/>
  <c r="M83" i="1"/>
  <c r="M85" i="1"/>
  <c r="L85" i="1"/>
  <c r="M86" i="1"/>
  <c r="L86" i="1"/>
  <c r="O43" i="1"/>
  <c r="O51" i="1"/>
  <c r="O60" i="1"/>
  <c r="L100" i="1"/>
  <c r="O100" i="1" s="1"/>
  <c r="K101" i="1"/>
  <c r="P18" i="1"/>
  <c r="P24" i="1"/>
  <c r="K76" i="1" s="1"/>
  <c r="O37" i="1"/>
  <c r="P43" i="1"/>
  <c r="P51" i="1"/>
  <c r="P60" i="1"/>
  <c r="P66" i="1"/>
  <c r="K87" i="1" s="1"/>
  <c r="L99" i="1"/>
  <c r="O99" i="1" s="1"/>
  <c r="P19" i="1"/>
  <c r="P37" i="1"/>
  <c r="L98" i="1"/>
  <c r="O98" i="1" s="1"/>
  <c r="P112" i="1"/>
  <c r="O22" i="1"/>
  <c r="O38" i="1"/>
  <c r="O47" i="1"/>
  <c r="O56" i="1"/>
  <c r="O64" i="1"/>
  <c r="P47" i="1"/>
  <c r="P56" i="1"/>
  <c r="L95" i="1"/>
  <c r="O95" i="1" s="1"/>
  <c r="P101" i="1" l="1"/>
  <c r="L79" i="1"/>
  <c r="P118" i="1"/>
  <c r="L78" i="1"/>
  <c r="F80" i="1"/>
  <c r="M87" i="1"/>
  <c r="L87" i="1"/>
  <c r="F84" i="1" s="1"/>
  <c r="L101" i="1"/>
  <c r="O101" i="1" s="1"/>
  <c r="K70" i="1"/>
  <c r="K75" i="1"/>
  <c r="M76" i="1"/>
  <c r="L76" i="1"/>
  <c r="M75" i="1" l="1"/>
  <c r="L75" i="1"/>
  <c r="F74" i="1" s="1"/>
</calcChain>
</file>

<file path=xl/sharedStrings.xml><?xml version="1.0" encoding="utf-8"?>
<sst xmlns="http://schemas.openxmlformats.org/spreadsheetml/2006/main" count="363" uniqueCount="176">
  <si>
    <t>Data Revisão: INICIAL</t>
  </si>
  <si>
    <t>Data:</t>
  </si>
  <si>
    <t>Justificação:</t>
  </si>
  <si>
    <t>Versão:</t>
  </si>
  <si>
    <t>Ciclo de Gestão</t>
  </si>
  <si>
    <t>2024</t>
  </si>
  <si>
    <t>Designação do Serviço|Organismo:</t>
  </si>
  <si>
    <t>Comissão de Coordenação e Desenvolvimento Regional do Centro, IP. (CCDRC, IP)</t>
  </si>
  <si>
    <t>Missão:</t>
  </si>
  <si>
    <t>A CCDRC, IP tem por Missão:
- Definir e executar as respetivas estratégias de desenvolvimento regional;
- Integrar e articular territorialmente políticas públicas indispensáveis à execução das políticas de desenvolvimento regional nos domínios do ambiente e conservação da natureza, ordenamento do território e cidades, economia, cultura, educação, saúde, agricultura e pescas;  
- Assegurar o planeamento e a gestão da política de coesão no âmbito do programa regional e dos programas de cooperação territorial europeia, enquadrados nos ciclos de programação das políticas da União Europeia (UE), tendo em vista o desenvolvimento económico, social e cultural dos territórios;
- Apoiar tecnicamente as autarquias locais e suas associações.</t>
  </si>
  <si>
    <t>Objetivos Estratégicos (OE):</t>
  </si>
  <si>
    <t>Meta</t>
  </si>
  <si>
    <t>Grau de Concretização</t>
  </si>
  <si>
    <t>OE1: Promoção da competitividade das empresas e das instituições da Região através da sua qualificação e transferência de conhecimento e tecnologia</t>
  </si>
  <si>
    <t>OE2: Dinamização do desenvolvimento sustentado, estruturado, ordenado e equilibrado do território e da qualidade de vida das suas populações</t>
  </si>
  <si>
    <t>OE3: Promoção da Coesão Territorial e Social</t>
  </si>
  <si>
    <t>OE4:  Promoção e divulgação da Região Centro, a nível nacional e internacional</t>
  </si>
  <si>
    <t>OE5:  Apoio, através de serviços de qualidade e de uma postura de excelência, aos agentes locais, sub-regionais, regionais, assim como aos cidadãos, reforçando a respetiva capacitação</t>
  </si>
  <si>
    <t>OE6: Reforço da motivação, envolvimento e satisfação dos colaboradores</t>
  </si>
  <si>
    <t>Objetivos Operacionais (OP):</t>
  </si>
  <si>
    <t>EFICÁCIA</t>
  </si>
  <si>
    <t>PESO:</t>
  </si>
  <si>
    <t>OE4</t>
  </si>
  <si>
    <t xml:space="preserve">OP1: Consolidar a CCDRC, I.P. como entidade de coordenação do território  </t>
  </si>
  <si>
    <t>Indicadores</t>
  </si>
  <si>
    <t>Meta 2024</t>
  </si>
  <si>
    <t>Tolerância</t>
  </si>
  <si>
    <t>Valor Crítico</t>
  </si>
  <si>
    <t>Peso</t>
  </si>
  <si>
    <t>Resultado</t>
  </si>
  <si>
    <t>Taxa de Realização</t>
  </si>
  <si>
    <t>Classificação</t>
  </si>
  <si>
    <t>Desvio</t>
  </si>
  <si>
    <t>Ind. 1</t>
  </si>
  <si>
    <t>Prazo de lançamento da segunda edição do Green Deal em Compras Públicas</t>
  </si>
  <si>
    <t>Ind. 2</t>
  </si>
  <si>
    <t xml:space="preserve">Número de iniciativas de articulação com entidades regionais com vista à promoção da região, dos seus recursos e da CCDRC, I.P. </t>
  </si>
  <si>
    <t xml:space="preserve">Grau de Realização </t>
  </si>
  <si>
    <t>OE5</t>
  </si>
  <si>
    <t>OP2: Reforçar a identidade regional através do património cultural material e imaterial</t>
  </si>
  <si>
    <t>Ind. 3</t>
  </si>
  <si>
    <t>Percentagem de pareceres emitidos sobre pedidos relativos a operações urbanísticas (RJUE), localizadas em zonas de proteção de bens imóveis classificados, não afetos ao Património Cultural IP, até 2 dias antes do prazo legalmente previsto</t>
  </si>
  <si>
    <t>Ind. 4</t>
  </si>
  <si>
    <t>Prazo de análise das candidaturas efetuadas no âmbito do Programa de Apoio à Ação Cultural 2024</t>
  </si>
  <si>
    <t>OE2</t>
  </si>
  <si>
    <t>OP3: Garantir a execução do PDR 2020/ PEPAC 23 - 27</t>
  </si>
  <si>
    <t>Ind. 5</t>
  </si>
  <si>
    <t>Taxa de análise de pedidos de apoio</t>
  </si>
  <si>
    <t>Ind. 6</t>
  </si>
  <si>
    <t>Taxa de  análise dos pedidos de pagamento</t>
  </si>
  <si>
    <t>OP4: Garantir a execução do MAR 2020 / MAR 2030</t>
  </si>
  <si>
    <t>Ind. 7</t>
  </si>
  <si>
    <t>Ind. 8</t>
  </si>
  <si>
    <t>Taxa de análise dos pedidos de pagamento</t>
  </si>
  <si>
    <t>OE1</t>
  </si>
  <si>
    <t>OP5: Acelerar a execução dos Programas Regionais do Portugal 2030</t>
  </si>
  <si>
    <t>Ind. 9</t>
  </si>
  <si>
    <t>Taxa de Execução do Programa no PT 2030</t>
  </si>
  <si>
    <t>Ind. 10</t>
  </si>
  <si>
    <t>Taxa de Compromisso do Programa no PT 2030</t>
  </si>
  <si>
    <t>EFICIÊNCIA</t>
  </si>
  <si>
    <t>OE3</t>
  </si>
  <si>
    <t>OP6: Melhorar a qualidade de vida das pessoas - Promoção da monitorização eficiente dos poluentes atmosféricos</t>
  </si>
  <si>
    <t>Ind. 11</t>
  </si>
  <si>
    <t>Percentagem de implementação dos procedimentos de controlo e garantia de qualidade (QA/QC</t>
  </si>
  <si>
    <t>OP7: Melhoria do desempenho dos Sistemas de Informação Agrária</t>
  </si>
  <si>
    <t>Ind. 12</t>
  </si>
  <si>
    <t xml:space="preserve">Taxa de execução do Plano de Reporte Anual dos Sistemas Estatísticos de Informação agrária. </t>
  </si>
  <si>
    <t xml:space="preserve">OP8: Promover e garantir o cumprimento da legislação de ambiente e de ordenamento do território </t>
  </si>
  <si>
    <t>Ind. 13</t>
  </si>
  <si>
    <t>Número  de situações em que foi reposta a legalidade após notificação da CCDRC aos infratores</t>
  </si>
  <si>
    <t>QUALIDADE</t>
  </si>
  <si>
    <t>OP9:  Assegurar a elaboração do PROT</t>
  </si>
  <si>
    <t>Ind. 14</t>
  </si>
  <si>
    <t>Prazo de conclusão dos trabalhos técnicos de elaboração do PROT, definida na RCM n.º 177/2021, de 17/12</t>
  </si>
  <si>
    <t>OE6</t>
  </si>
  <si>
    <t>OP10: Plano de Formação Profissional 2024</t>
  </si>
  <si>
    <t>Ind. 15</t>
  </si>
  <si>
    <t>Percentagem de participações de trabalhadores em ações de formação</t>
  </si>
  <si>
    <t>OP11: Assegurar o apoio jurídico</t>
  </si>
  <si>
    <t>Ind. 16</t>
  </si>
  <si>
    <t xml:space="preserve">Percentagem de decisões tomadas em processos de contraordenação ambiental (DAJ 3) </t>
  </si>
  <si>
    <t>Ind. 17</t>
  </si>
  <si>
    <t>Percentagem de pedidos de parecer despachados até 30 dias úteis face ao total de pedidos entrados no ano (DAJ 2)</t>
  </si>
  <si>
    <t>AVALIAÇÃO FINAL DO QUAR 2024</t>
  </si>
  <si>
    <t>Avaliação de acordo com os requisitos constantes no artigo 18.º da Lei n.º 66-B/2007, de 28 de dezembro</t>
  </si>
  <si>
    <t>Âmbito</t>
  </si>
  <si>
    <t>Ponderação Eficácia</t>
  </si>
  <si>
    <t>Ponderação Eficiência</t>
  </si>
  <si>
    <t>Ponderação Qualidade</t>
  </si>
  <si>
    <t>Quantitativa</t>
  </si>
  <si>
    <t>Qualitativa</t>
  </si>
  <si>
    <t>GRAU DE REALIZAÇÂO DE PARÂMETROS E OBJETIVOS</t>
  </si>
  <si>
    <t>Objetivos Operacionais</t>
  </si>
  <si>
    <t>Peso dos parâmetros na avaliação final</t>
  </si>
  <si>
    <t>Peso dos objetivos no respetivo parâmetro</t>
  </si>
  <si>
    <t>Peso de cada objetivo na avaliação final</t>
  </si>
  <si>
    <t>Grau de realização do objetivo</t>
  </si>
  <si>
    <t>Grau de realização do objetivo (ponderado)</t>
  </si>
  <si>
    <t>OBJETIVOS MAIS RELEVANTES (nº 1 do art.18º da Lei 66-B/2007, de 28.12)</t>
  </si>
  <si>
    <t>GR EFICÁCIA</t>
  </si>
  <si>
    <t>RELEVANTE</t>
  </si>
  <si>
    <t>GR EFICIÊNCIA</t>
  </si>
  <si>
    <t>GR QUALIDADE</t>
  </si>
  <si>
    <t>Total</t>
  </si>
  <si>
    <t xml:space="preserve">Soma dos pesos dos objetivos operacionais mais relevantes </t>
  </si>
  <si>
    <t>RECURSOS HUMANOS</t>
  </si>
  <si>
    <t>Dias úteis 2024</t>
  </si>
  <si>
    <t>DESIGNAÇÃO</t>
  </si>
  <si>
    <t>Pontuação (Conselho Coordenador da Avaliação de Serviços)1</t>
  </si>
  <si>
    <t>Pontuação efetivos Planeados para 2024</t>
  </si>
  <si>
    <t>Pontuação efetivos Executados para 2024</t>
  </si>
  <si>
    <t>Desvio (em n.º)</t>
  </si>
  <si>
    <t>Pontuação Executada / Pontuação Planeada</t>
  </si>
  <si>
    <t>UERHE / UERHP</t>
  </si>
  <si>
    <t>N.º de efetivos planeados (Mapa de Pessoal)</t>
  </si>
  <si>
    <t>UERHP</t>
  </si>
  <si>
    <t>Pontuação Planeada</t>
  </si>
  <si>
    <t>N.º de efetivos a 31.dez (Balanço Social)</t>
  </si>
  <si>
    <t>UERHE</t>
  </si>
  <si>
    <t>Pontuação Executada</t>
  </si>
  <si>
    <t>Dirigentes - Direção Superior</t>
  </si>
  <si>
    <t>Dirigentes - Direção intermédia e Chefes de equipa</t>
  </si>
  <si>
    <t>Técnico Superior</t>
  </si>
  <si>
    <t>Coordenador Técnico</t>
  </si>
  <si>
    <t>Especialista de Informática</t>
  </si>
  <si>
    <t>Técnicos de Informática</t>
  </si>
  <si>
    <t>Assistente Técnico</t>
  </si>
  <si>
    <t>Assistente Operacional</t>
  </si>
  <si>
    <t>Número de trabalhadores a exercer funções no serviço:</t>
  </si>
  <si>
    <t>Efetivos 31.12.2019</t>
  </si>
  <si>
    <t>Efetivos 31.12.2020</t>
  </si>
  <si>
    <t>Efetivos 31.12.2021</t>
  </si>
  <si>
    <t>Efetivos 31.12.2022</t>
  </si>
  <si>
    <t>Previstos 2023</t>
  </si>
  <si>
    <t>Efetivos 31.12.2023</t>
  </si>
  <si>
    <t>Previsto 2024</t>
  </si>
  <si>
    <t>Efetivos 30.06.2024</t>
  </si>
  <si>
    <t>Efetivos 30.09.2024</t>
  </si>
  <si>
    <t>Efetivos 30.12.2024</t>
  </si>
  <si>
    <t>RECURSOS FINANCEIROS</t>
  </si>
  <si>
    <t>Dotação inicial</t>
  </si>
  <si>
    <t>Dotação Corrigida</t>
  </si>
  <si>
    <t>Execução</t>
  </si>
  <si>
    <t>Saldo</t>
  </si>
  <si>
    <t>Taxa de Execução</t>
  </si>
  <si>
    <t>30.jun.2024</t>
  </si>
  <si>
    <t>30.set.2024</t>
  </si>
  <si>
    <t>30.dez.2024</t>
  </si>
  <si>
    <t>Orçamento de Funcionamento (OF)</t>
  </si>
  <si>
    <t>Despesas c/Pessoal</t>
  </si>
  <si>
    <t>Aquisições de Bens e Serviços</t>
  </si>
  <si>
    <t>Outras despesas correntes</t>
  </si>
  <si>
    <t>Despesas de Capital</t>
  </si>
  <si>
    <t>Orçamento de Investimento (OI)</t>
  </si>
  <si>
    <t>Outros Valores</t>
  </si>
  <si>
    <t>Total (OF+OI+OV)</t>
  </si>
  <si>
    <t>Despesas Extra-Oçramentais</t>
  </si>
  <si>
    <t>UPDR</t>
  </si>
  <si>
    <t>UCULT</t>
  </si>
  <si>
    <t>UAP</t>
  </si>
  <si>
    <t>CENTRO 2030</t>
  </si>
  <si>
    <t>UACNB</t>
  </si>
  <si>
    <t>UDRA</t>
  </si>
  <si>
    <t>UFISC</t>
  </si>
  <si>
    <t>UOT</t>
  </si>
  <si>
    <t>DGRH</t>
  </si>
  <si>
    <t>USJAAL</t>
  </si>
  <si>
    <t>UO/Monit.</t>
  </si>
  <si>
    <t>BOM</t>
  </si>
  <si>
    <t>Objetivos Estratégicos</t>
  </si>
  <si>
    <t>Ponderação do OOP no OE</t>
  </si>
  <si>
    <t>Tx. Real. OOP</t>
  </si>
  <si>
    <t>Tx. Real. OOP no OE</t>
  </si>
  <si>
    <t>Grau de concretização</t>
  </si>
  <si>
    <t>Grau de concretização dos Objetivos Estratégicos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</si>
</sst>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22" x14ac:knownFonts="1">
    <font>
      <sz val="11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4"/>
      <color rgb="FF336699"/>
      <name val="Calibri"/>
      <family val="2"/>
    </font>
    <font>
      <b/>
      <sz val="12"/>
      <color rgb="FF336699"/>
      <name val="Calibri"/>
      <family val="2"/>
    </font>
    <font>
      <sz val="11"/>
      <color rgb="FF336699"/>
      <name val="Calibri"/>
      <family val="2"/>
    </font>
    <font>
      <b/>
      <i/>
      <sz val="9"/>
      <color rgb="FF000000"/>
      <name val="Calibri"/>
      <family val="2"/>
    </font>
    <font>
      <b/>
      <sz val="9"/>
      <color rgb="FFFFFFFF"/>
      <name val="Verdana"/>
      <family val="2"/>
    </font>
    <font>
      <b/>
      <sz val="9"/>
      <color rgb="FF000000"/>
      <name val="Verdana"/>
      <family val="2"/>
    </font>
    <font>
      <b/>
      <sz val="9"/>
      <color rgb="FF336699"/>
      <name val="Verdana"/>
      <family val="2"/>
    </font>
    <font>
      <b/>
      <sz val="9"/>
      <color rgb="FF595959"/>
      <name val="Verdana"/>
      <family val="2"/>
    </font>
    <font>
      <b/>
      <sz val="8"/>
      <color rgb="FF595959"/>
      <name val="Calibri"/>
      <family val="2"/>
    </font>
    <font>
      <sz val="8"/>
      <color rgb="FFFFFFFF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336699"/>
      <name val="Calibri"/>
      <family val="2"/>
    </font>
    <font>
      <sz val="10"/>
      <name val="Calibri"/>
      <family val="2"/>
    </font>
    <font>
      <b/>
      <sz val="12"/>
      <color rgb="FFFFFFFF"/>
      <name val="Calibri"/>
      <family val="2"/>
    </font>
    <font>
      <b/>
      <sz val="14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336699"/>
        <bgColor rgb="FF336699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E4EDF6"/>
        <bgColor rgb="FFE4EDF6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EEECE1"/>
        <bgColor rgb="FFEEECE1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">
    <xf numFmtId="0" fontId="0" fillId="0" borderId="0" applyBorder="0"/>
  </cellStyleXfs>
  <cellXfs count="128">
    <xf numFmtId="0" fontId="0" fillId="0" borderId="0" xfId="0"/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10" fontId="5" fillId="0" borderId="0" xfId="0" applyNumberFormat="1" applyFont="1" applyFill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10" fontId="11" fillId="8" borderId="1" xfId="0" applyNumberFormat="1" applyFont="1" applyFill="1" applyBorder="1" applyAlignment="1" applyProtection="1">
      <alignment horizontal="center" vertical="center"/>
    </xf>
    <xf numFmtId="10" fontId="11" fillId="6" borderId="1" xfId="0" applyNumberFormat="1" applyFont="1" applyFill="1" applyBorder="1" applyAlignment="1" applyProtection="1">
      <alignment horizontal="center" vertical="center"/>
    </xf>
    <xf numFmtId="10" fontId="12" fillId="6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left" vertical="center"/>
    </xf>
    <xf numFmtId="0" fontId="3" fillId="8" borderId="1" xfId="0" applyNumberFormat="1" applyFont="1" applyFill="1" applyBorder="1" applyAlignment="1" applyProtection="1">
      <alignment horizontal="center" vertical="center"/>
    </xf>
    <xf numFmtId="4" fontId="3" fillId="8" borderId="1" xfId="0" applyNumberFormat="1" applyFont="1" applyFill="1" applyBorder="1" applyAlignment="1" applyProtection="1">
      <alignment horizontal="center" vertical="center"/>
    </xf>
    <xf numFmtId="10" fontId="3" fillId="8" borderId="1" xfId="0" applyNumberFormat="1" applyFont="1" applyFill="1" applyBorder="1" applyAlignment="1" applyProtection="1">
      <alignment horizontal="center" vertical="center"/>
    </xf>
    <xf numFmtId="0" fontId="3" fillId="7" borderId="1" xfId="0" applyNumberFormat="1" applyFont="1" applyFill="1" applyBorder="1" applyAlignment="1" applyProtection="1">
      <alignment horizontal="center" vertical="center"/>
    </xf>
    <xf numFmtId="4" fontId="3" fillId="7" borderId="1" xfId="0" applyNumberFormat="1" applyFont="1" applyFill="1" applyBorder="1" applyAlignment="1" applyProtection="1">
      <alignment horizontal="center" vertical="center"/>
    </xf>
    <xf numFmtId="10" fontId="3" fillId="7" borderId="1" xfId="0" applyNumberFormat="1" applyFont="1" applyFill="1" applyBorder="1" applyAlignment="1" applyProtection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4" fillId="8" borderId="1" xfId="0" applyNumberFormat="1" applyFont="1" applyFill="1" applyBorder="1" applyAlignment="1" applyProtection="1">
      <alignment horizontal="center" vertical="center"/>
    </xf>
    <xf numFmtId="164" fontId="2" fillId="7" borderId="1" xfId="0" applyNumberFormat="1" applyFont="1" applyFill="1" applyBorder="1" applyAlignment="1" applyProtection="1">
      <alignment horizontal="right" vertical="center"/>
    </xf>
    <xf numFmtId="10" fontId="2" fillId="7" borderId="1" xfId="0" applyNumberFormat="1" applyFont="1" applyFill="1" applyBorder="1" applyAlignment="1" applyProtection="1">
      <alignment horizontal="right" vertical="center"/>
    </xf>
    <xf numFmtId="164" fontId="3" fillId="8" borderId="1" xfId="0" applyNumberFormat="1" applyFont="1" applyFill="1" applyBorder="1" applyAlignment="1" applyProtection="1">
      <alignment horizontal="right" vertical="center"/>
    </xf>
    <xf numFmtId="10" fontId="3" fillId="8" borderId="1" xfId="0" applyNumberFormat="1" applyFont="1" applyFill="1" applyBorder="1" applyAlignment="1" applyProtection="1">
      <alignment horizontal="right" vertical="center"/>
    </xf>
    <xf numFmtId="14" fontId="0" fillId="0" borderId="0" xfId="0" applyNumberFormat="1" applyFill="1" applyAlignment="1" applyProtection="1"/>
    <xf numFmtId="0" fontId="16" fillId="2" borderId="1" xfId="0" applyNumberFormat="1" applyFont="1" applyFill="1" applyBorder="1" applyAlignment="1" applyProtection="1">
      <alignment horizontal="left" vertical="center" indent="2"/>
    </xf>
    <xf numFmtId="0" fontId="16" fillId="2" borderId="1" xfId="0" applyNumberFormat="1" applyFont="1" applyFill="1" applyBorder="1" applyAlignment="1" applyProtection="1">
      <alignment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10" fontId="17" fillId="4" borderId="1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Alignment="1" applyProtection="1">
      <alignment horizontal="right" vertical="center"/>
    </xf>
    <xf numFmtId="10" fontId="18" fillId="0" borderId="0" xfId="0" applyNumberFormat="1" applyFont="1" applyFill="1" applyAlignment="1" applyProtection="1">
      <alignment vertical="center"/>
    </xf>
    <xf numFmtId="0" fontId="16" fillId="2" borderId="1" xfId="0" applyNumberFormat="1" applyFont="1" applyFill="1" applyBorder="1" applyAlignment="1" applyProtection="1">
      <alignment horizontal="left" vertical="center" wrapText="1" indent="1"/>
    </xf>
    <xf numFmtId="0" fontId="16" fillId="2" borderId="1" xfId="0" applyNumberFormat="1" applyFont="1" applyFill="1" applyBorder="1" applyAlignment="1" applyProtection="1">
      <alignment horizontal="right" vertical="center"/>
    </xf>
    <xf numFmtId="10" fontId="16" fillId="2" borderId="1" xfId="0" applyNumberFormat="1" applyFont="1" applyFill="1" applyBorder="1" applyAlignment="1" applyProtection="1">
      <alignment horizontal="center" vertical="center"/>
    </xf>
    <xf numFmtId="0" fontId="15" fillId="5" borderId="1" xfId="0" applyNumberFormat="1" applyFont="1" applyFill="1" applyBorder="1" applyAlignment="1" applyProtection="1">
      <alignment horizontal="center" vertical="center" wrapText="1"/>
    </xf>
    <xf numFmtId="0" fontId="15" fillId="6" borderId="1" xfId="0" applyNumberFormat="1" applyFont="1" applyFill="1" applyBorder="1" applyAlignment="1" applyProtection="1">
      <alignment horizontal="left" vertical="center" indent="1"/>
    </xf>
    <xf numFmtId="0" fontId="17" fillId="6" borderId="1" xfId="0" applyNumberFormat="1" applyFont="1" applyFill="1" applyBorder="1" applyAlignment="1" applyProtection="1">
      <alignment horizontal="center" vertical="center" wrapText="1"/>
    </xf>
    <xf numFmtId="0" fontId="17" fillId="6" borderId="1" xfId="0" applyNumberFormat="1" applyFont="1" applyFill="1" applyBorder="1" applyAlignment="1" applyProtection="1">
      <alignment horizontal="center" vertical="center"/>
    </xf>
    <xf numFmtId="10" fontId="17" fillId="6" borderId="1" xfId="0" applyNumberFormat="1" applyFont="1" applyFill="1" applyBorder="1" applyAlignment="1" applyProtection="1">
      <alignment horizontal="center" vertical="center"/>
    </xf>
    <xf numFmtId="10" fontId="15" fillId="7" borderId="0" xfId="0" applyNumberFormat="1" applyFont="1" applyFill="1" applyAlignment="1" applyProtection="1">
      <alignment vertical="center"/>
    </xf>
    <xf numFmtId="0" fontId="0" fillId="0" borderId="0" xfId="0" applyNumberFormat="1" applyFill="1" applyAlignment="1" applyProtection="1">
      <alignment wrapText="1"/>
    </xf>
    <xf numFmtId="10" fontId="3" fillId="4" borderId="1" xfId="0" applyNumberFormat="1" applyFont="1" applyFill="1" applyBorder="1" applyAlignment="1" applyProtection="1">
      <alignment vertical="center"/>
    </xf>
    <xf numFmtId="0" fontId="19" fillId="6" borderId="1" xfId="0" applyNumberFormat="1" applyFont="1" applyFill="1" applyBorder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0" fillId="9" borderId="1" xfId="0" applyNumberFormat="1" applyFill="1" applyBorder="1" applyAlignment="1" applyProtection="1">
      <alignment horizontal="left" vertical="center" wrapText="1"/>
    </xf>
    <xf numFmtId="10" fontId="20" fillId="2" borderId="1" xfId="0" applyNumberFormat="1" applyFont="1" applyFill="1" applyBorder="1" applyAlignment="1" applyProtection="1">
      <alignment horizontal="right" vertical="center" wrapText="1"/>
    </xf>
    <xf numFmtId="10" fontId="21" fillId="2" borderId="1" xfId="0" applyNumberFormat="1" applyFont="1" applyFill="1" applyBorder="1" applyAlignment="1" applyProtection="1">
      <alignment horizontal="right" vertical="center" wrapText="1"/>
    </xf>
    <xf numFmtId="10" fontId="0" fillId="9" borderId="1" xfId="0" applyNumberFormat="1" applyFill="1" applyBorder="1" applyAlignment="1" applyProtection="1">
      <alignment horizontal="right" vertical="center" wrapText="1"/>
    </xf>
    <xf numFmtId="0" fontId="2" fillId="7" borderId="1" xfId="0" applyNumberFormat="1" applyFont="1" applyFill="1" applyBorder="1" applyAlignment="1" applyProtection="1">
      <alignment horizontal="left" vertical="center"/>
    </xf>
    <xf numFmtId="0" fontId="2" fillId="7" borderId="1" xfId="0" applyNumberFormat="1" applyFont="1" applyFill="1" applyBorder="1" applyAlignment="1" applyProtection="1">
      <alignment vertical="center"/>
    </xf>
    <xf numFmtId="0" fontId="2" fillId="7" borderId="1" xfId="0" applyNumberFormat="1" applyFont="1" applyFill="1" applyBorder="1" applyAlignment="1" applyProtection="1">
      <alignment horizontal="right" vertical="center"/>
    </xf>
    <xf numFmtId="164" fontId="2" fillId="7" borderId="1" xfId="0" applyNumberFormat="1" applyFont="1" applyFill="1" applyBorder="1" applyAlignment="1" applyProtection="1">
      <alignment horizontal="right" vertical="center"/>
    </xf>
    <xf numFmtId="164" fontId="2" fillId="7" borderId="6" xfId="0" applyNumberFormat="1" applyFont="1" applyFill="1" applyBorder="1" applyAlignment="1" applyProtection="1">
      <alignment horizontal="center" vertical="center"/>
    </xf>
    <xf numFmtId="164" fontId="2" fillId="7" borderId="7" xfId="0" applyNumberFormat="1" applyFont="1" applyFill="1" applyBorder="1" applyAlignment="1" applyProtection="1">
      <alignment horizontal="center" vertical="center"/>
    </xf>
    <xf numFmtId="0" fontId="3" fillId="8" borderId="1" xfId="0" applyNumberFormat="1" applyFont="1" applyFill="1" applyBorder="1" applyAlignment="1" applyProtection="1">
      <alignment horizontal="left" vertical="center" indent="2"/>
    </xf>
    <xf numFmtId="0" fontId="3" fillId="8" borderId="1" xfId="0" applyNumberFormat="1" applyFont="1" applyFill="1" applyBorder="1" applyAlignment="1" applyProtection="1">
      <alignment vertical="center"/>
    </xf>
    <xf numFmtId="0" fontId="3" fillId="8" borderId="1" xfId="0" applyNumberFormat="1" applyFont="1" applyFill="1" applyBorder="1" applyAlignment="1" applyProtection="1">
      <alignment horizontal="right" vertical="center"/>
    </xf>
    <xf numFmtId="164" fontId="3" fillId="8" borderId="1" xfId="0" applyNumberFormat="1" applyFont="1" applyFill="1" applyBorder="1" applyAlignment="1" applyProtection="1">
      <alignment horizontal="right" vertical="center"/>
    </xf>
    <xf numFmtId="0" fontId="3" fillId="7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 indent="2"/>
    </xf>
    <xf numFmtId="0" fontId="1" fillId="2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8" borderId="1" xfId="0" applyNumberFormat="1" applyFont="1" applyFill="1" applyBorder="1" applyAlignment="1" applyProtection="1">
      <alignment horizontal="center" vertical="center"/>
    </xf>
    <xf numFmtId="10" fontId="11" fillId="8" borderId="1" xfId="0" applyNumberFormat="1" applyFont="1" applyFill="1" applyBorder="1" applyAlignment="1" applyProtection="1">
      <alignment horizontal="center" vertical="center"/>
    </xf>
    <xf numFmtId="0" fontId="11" fillId="8" borderId="1" xfId="0" applyNumberFormat="1" applyFont="1" applyFill="1" applyBorder="1" applyAlignment="1" applyProtection="1">
      <alignment horizontal="center" vertical="center"/>
    </xf>
    <xf numFmtId="0" fontId="10" fillId="8" borderId="1" xfId="0" applyNumberFormat="1" applyFont="1" applyFill="1" applyBorder="1" applyAlignment="1" applyProtection="1">
      <alignment horizontal="center" vertical="center"/>
    </xf>
    <xf numFmtId="0" fontId="11" fillId="8" borderId="1" xfId="0" applyNumberFormat="1" applyFont="1" applyFill="1" applyBorder="1" applyAlignment="1" applyProtection="1">
      <alignment horizontal="left" vertical="center" wrapText="1" indent="2"/>
    </xf>
    <xf numFmtId="0" fontId="11" fillId="8" borderId="1" xfId="0" applyNumberFormat="1" applyFont="1" applyFill="1" applyBorder="1" applyAlignment="1" applyProtection="1">
      <alignment horizontal="left" vertical="center"/>
    </xf>
    <xf numFmtId="0" fontId="10" fillId="6" borderId="5" xfId="0" applyNumberFormat="1" applyFont="1" applyFill="1" applyBorder="1" applyAlignment="1" applyProtection="1">
      <alignment horizontal="center" vertical="center"/>
    </xf>
    <xf numFmtId="10" fontId="11" fillId="6" borderId="5" xfId="0" applyNumberFormat="1" applyFont="1" applyFill="1" applyBorder="1" applyAlignment="1" applyProtection="1">
      <alignment horizontal="center" vertical="center"/>
    </xf>
    <xf numFmtId="0" fontId="11" fillId="6" borderId="5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right" vertical="center"/>
    </xf>
    <xf numFmtId="10" fontId="9" fillId="6" borderId="1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5" fillId="7" borderId="0" xfId="0" applyNumberFormat="1" applyFont="1" applyFill="1" applyAlignment="1" applyProtection="1">
      <alignment horizontal="right" vertical="center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/>
    <xf numFmtId="10" fontId="1" fillId="2" borderId="3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2" fillId="6" borderId="4" xfId="0" applyNumberFormat="1" applyFont="1" applyFill="1" applyBorder="1" applyAlignment="1" applyProtection="1">
      <alignment horizontal="center" vertical="center"/>
    </xf>
    <xf numFmtId="10" fontId="3" fillId="6" borderId="4" xfId="0" applyNumberFormat="1" applyFont="1" applyFill="1" applyBorder="1" applyAlignment="1" applyProtection="1">
      <alignment horizontal="center" vertical="center"/>
    </xf>
    <xf numFmtId="0" fontId="3" fillId="6" borderId="4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7" fillId="6" borderId="1" xfId="0" applyNumberFormat="1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 applyProtection="1">
      <alignment horizontal="left" vertical="center" indent="1"/>
    </xf>
    <xf numFmtId="0" fontId="16" fillId="2" borderId="1" xfId="0" applyNumberFormat="1" applyFont="1" applyFill="1" applyBorder="1" applyAlignment="1" applyProtection="1">
      <alignment horizontal="left" vertical="center"/>
    </xf>
    <xf numFmtId="0" fontId="15" fillId="5" borderId="6" xfId="0" applyNumberFormat="1" applyFont="1" applyFill="1" applyBorder="1" applyAlignment="1" applyProtection="1">
      <alignment horizontal="center" vertical="center" wrapText="1"/>
    </xf>
    <xf numFmtId="0" fontId="15" fillId="5" borderId="5" xfId="0" applyNumberFormat="1" applyFont="1" applyFill="1" applyBorder="1" applyAlignment="1" applyProtection="1">
      <alignment horizontal="center" vertical="center" wrapText="1"/>
    </xf>
    <xf numFmtId="0" fontId="15" fillId="5" borderId="7" xfId="0" applyNumberFormat="1" applyFont="1" applyFill="1" applyBorder="1" applyAlignment="1" applyProtection="1">
      <alignment horizontal="center" vertical="center" wrapText="1"/>
    </xf>
    <xf numFmtId="0" fontId="15" fillId="5" borderId="1" xfId="0" applyNumberFormat="1" applyFont="1" applyFill="1" applyBorder="1" applyAlignment="1" applyProtection="1">
      <alignment horizontal="center" vertical="center" wrapText="1"/>
    </xf>
    <xf numFmtId="0" fontId="17" fillId="6" borderId="6" xfId="0" applyNumberFormat="1" applyFont="1" applyFill="1" applyBorder="1" applyAlignment="1" applyProtection="1">
      <alignment horizontal="left" vertical="center" wrapText="1"/>
    </xf>
    <xf numFmtId="0" fontId="17" fillId="6" borderId="5" xfId="0" applyNumberFormat="1" applyFont="1" applyFill="1" applyBorder="1" applyAlignment="1" applyProtection="1">
      <alignment horizontal="left" vertical="center" wrapText="1"/>
    </xf>
    <xf numFmtId="0" fontId="17" fillId="6" borderId="7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 indent="2"/>
    </xf>
    <xf numFmtId="0" fontId="4" fillId="0" borderId="0" xfId="0" applyNumberFormat="1" applyFont="1" applyFill="1" applyAlignment="1" applyProtection="1">
      <alignment vertical="center"/>
    </xf>
    <xf numFmtId="0" fontId="17" fillId="6" borderId="6" xfId="0" applyNumberFormat="1" applyFont="1" applyFill="1" applyBorder="1" applyAlignment="1" applyProtection="1">
      <alignment horizontal="center" vertical="center" wrapText="1"/>
    </xf>
    <xf numFmtId="0" fontId="17" fillId="6" borderId="5" xfId="0" applyNumberFormat="1" applyFont="1" applyFill="1" applyBorder="1" applyAlignment="1" applyProtection="1">
      <alignment horizontal="center" vertical="center" wrapText="1"/>
    </xf>
    <xf numFmtId="0" fontId="17" fillId="6" borderId="7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vertical="center"/>
    </xf>
    <xf numFmtId="0" fontId="15" fillId="4" borderId="1" xfId="0" applyNumberFormat="1" applyFont="1" applyFill="1" applyBorder="1" applyAlignment="1" applyProtection="1">
      <alignment horizontal="left" vertical="center" indent="1"/>
    </xf>
    <xf numFmtId="0" fontId="17" fillId="4" borderId="1" xfId="0" applyNumberFormat="1" applyFont="1" applyFill="1" applyBorder="1" applyAlignment="1" applyProtection="1">
      <alignment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 wrapText="1"/>
    </xf>
    <xf numFmtId="0" fontId="15" fillId="3" borderId="0" xfId="0" applyNumberFormat="1" applyFont="1" applyFill="1" applyAlignment="1" applyProtection="1">
      <alignment horizontal="left" vertical="center"/>
    </xf>
    <xf numFmtId="0" fontId="15" fillId="3" borderId="0" xfId="0" applyNumberFormat="1" applyFont="1" applyFill="1" applyAlignment="1" applyProtection="1">
      <alignment vertical="center"/>
    </xf>
    <xf numFmtId="0" fontId="15" fillId="3" borderId="0" xfId="0" applyNumberFormat="1" applyFont="1" applyFill="1" applyAlignment="1" applyProtection="1">
      <alignment horizontal="left" vertical="center" wrapText="1"/>
    </xf>
    <xf numFmtId="0" fontId="16" fillId="2" borderId="0" xfId="0" applyNumberFormat="1" applyFont="1" applyFill="1" applyAlignment="1" applyProtection="1">
      <alignment horizontal="left" vertical="center" indent="1"/>
    </xf>
    <xf numFmtId="0" fontId="16" fillId="2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left" vertical="center" indent="2"/>
    </xf>
    <xf numFmtId="0" fontId="18" fillId="0" borderId="0" xfId="0" applyNumberFormat="1" applyFont="1" applyFill="1" applyAlignment="1" applyProtection="1">
      <alignment vertical="center"/>
    </xf>
    <xf numFmtId="0" fontId="0" fillId="9" borderId="1" xfId="0" applyNumberForma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left" vertical="center" wrapText="1"/>
    </xf>
    <xf numFmtId="0" fontId="0" fillId="9" borderId="4" xfId="0" applyNumberFormat="1" applyFill="1" applyBorder="1" applyAlignment="1" applyProtection="1">
      <alignment horizontal="left" vertical="center" wrapText="1"/>
    </xf>
  </cellXfs>
  <cellStyles count="1">
    <cellStyle name="Normal" xfId="0" builtinId="0"/>
  </cellStyles>
  <dxfs count="28"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C71C-5F6E-4DE2-A705-F5590D891437}">
  <sheetPr>
    <tabColor rgb="FFFFA500"/>
  </sheetPr>
  <dimension ref="B1:Z120"/>
  <sheetViews>
    <sheetView tabSelected="1" zoomScale="90" zoomScaleNormal="90" workbookViewId="0">
      <selection activeCell="P7" sqref="P7"/>
    </sheetView>
  </sheetViews>
  <sheetFormatPr defaultColWidth="9.140625" defaultRowHeight="15" x14ac:dyDescent="0.25"/>
  <cols>
    <col min="1" max="1" width="1.7109375" style="1" customWidth="1"/>
    <col min="2" max="2" width="7.7109375" style="1" customWidth="1"/>
    <col min="3" max="3" width="36.140625" style="1" customWidth="1"/>
    <col min="4" max="5" width="10.5703125" style="1" customWidth="1"/>
    <col min="6" max="6" width="7.5703125" style="1" customWidth="1"/>
    <col min="7" max="7" width="10.7109375" style="1" customWidth="1"/>
    <col min="8" max="8" width="12.140625" style="1" customWidth="1"/>
    <col min="9" max="9" width="9.85546875" style="1" customWidth="1"/>
    <col min="10" max="11" width="15.5703125" style="1" customWidth="1"/>
    <col min="12" max="12" width="21.5703125" style="1" customWidth="1"/>
    <col min="13" max="13" width="15.5703125" style="1" customWidth="1"/>
    <col min="14" max="14" width="20.140625" style="1" customWidth="1"/>
    <col min="15" max="15" width="15" style="1" customWidth="1"/>
    <col min="16" max="16" width="15.7109375" style="1" customWidth="1"/>
    <col min="17" max="17" width="0.7109375" style="1" customWidth="1"/>
    <col min="18" max="16384" width="9.140625" style="1"/>
  </cols>
  <sheetData>
    <row r="1" spans="2:26" ht="12.75" customHeight="1" x14ac:dyDescent="0.25">
      <c r="B1" s="112" t="s">
        <v>0</v>
      </c>
      <c r="C1" s="112"/>
      <c r="O1" s="1" t="s">
        <v>1</v>
      </c>
      <c r="P1" s="26">
        <v>45825</v>
      </c>
    </row>
    <row r="2" spans="2:26" ht="50.1" customHeight="1" thickBot="1" x14ac:dyDescent="0.3">
      <c r="B2" s="113" t="s">
        <v>2</v>
      </c>
      <c r="C2" s="113"/>
      <c r="D2" s="114"/>
      <c r="E2" s="113"/>
      <c r="F2" s="113"/>
      <c r="G2" s="113"/>
      <c r="H2" s="113"/>
      <c r="I2" s="113"/>
      <c r="J2" s="113"/>
      <c r="K2" s="113"/>
      <c r="L2" s="113"/>
      <c r="M2" s="113"/>
      <c r="N2" s="2"/>
      <c r="O2" s="2" t="s">
        <v>3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45" customHeight="1" thickTop="1" thickBot="1" x14ac:dyDescent="0.3">
      <c r="B3" s="27" t="s">
        <v>4</v>
      </c>
      <c r="C3" s="28"/>
      <c r="D3" s="115" t="s">
        <v>5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26" ht="45" customHeight="1" thickTop="1" thickBot="1" x14ac:dyDescent="0.3">
      <c r="B4" s="27" t="s">
        <v>6</v>
      </c>
      <c r="C4" s="28"/>
      <c r="D4" s="115" t="s">
        <v>7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2:26" ht="96.75" customHeight="1" thickTop="1" thickBot="1" x14ac:dyDescent="0.3">
      <c r="B5" s="27" t="s">
        <v>8</v>
      </c>
      <c r="C5" s="28"/>
      <c r="D5" s="117" t="s">
        <v>9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2:26" ht="45" customHeight="1" thickTop="1" thickBot="1" x14ac:dyDescent="0.3">
      <c r="B6" s="95" t="s">
        <v>10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29" t="s">
        <v>11</v>
      </c>
      <c r="P6" s="30" t="s">
        <v>12</v>
      </c>
    </row>
    <row r="7" spans="2:26" ht="45" customHeight="1" thickTop="1" thickBot="1" x14ac:dyDescent="0.3">
      <c r="B7" s="110" t="s">
        <v>13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31">
        <v>1</v>
      </c>
      <c r="P7" s="44">
        <f>+OE_OP!E3</f>
        <v>1.2867999999999999</v>
      </c>
    </row>
    <row r="8" spans="2:26" ht="45" customHeight="1" thickTop="1" thickBot="1" x14ac:dyDescent="0.3">
      <c r="B8" s="110" t="s">
        <v>14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31">
        <v>1</v>
      </c>
      <c r="P8" s="44">
        <f>+OE_OP!E6</f>
        <v>1.2336</v>
      </c>
    </row>
    <row r="9" spans="2:26" ht="45" customHeight="1" thickTop="1" thickBot="1" x14ac:dyDescent="0.3">
      <c r="B9" s="110" t="s">
        <v>15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31">
        <v>1</v>
      </c>
      <c r="P9" s="44">
        <f>+OE_OP!E10</f>
        <v>1.23668</v>
      </c>
    </row>
    <row r="10" spans="2:26" ht="45" customHeight="1" thickTop="1" thickBot="1" x14ac:dyDescent="0.3">
      <c r="B10" s="110" t="s">
        <v>16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31">
        <v>1</v>
      </c>
      <c r="P10" s="44">
        <f>+OE_OP!E12</f>
        <v>1.4822</v>
      </c>
    </row>
    <row r="11" spans="2:26" ht="45" customHeight="1" thickTop="1" thickBot="1" x14ac:dyDescent="0.3">
      <c r="B11" s="110" t="s">
        <v>17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31">
        <v>1</v>
      </c>
      <c r="P11" s="44">
        <f>+OE_OP!E16</f>
        <v>1.3017099999999999</v>
      </c>
    </row>
    <row r="12" spans="2:26" ht="45" customHeight="1" thickTop="1" thickBot="1" x14ac:dyDescent="0.3">
      <c r="B12" s="110" t="s">
        <v>18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31">
        <v>1</v>
      </c>
      <c r="P12" s="44">
        <f>+OE_OP!E18</f>
        <v>1</v>
      </c>
    </row>
    <row r="13" spans="2:26" ht="45" customHeight="1" thickTop="1" x14ac:dyDescent="0.25">
      <c r="B13" s="118" t="s">
        <v>19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</row>
    <row r="14" spans="2:26" ht="45" customHeight="1" thickBot="1" x14ac:dyDescent="0.3">
      <c r="B14" s="120" t="s">
        <v>20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32" t="s">
        <v>21</v>
      </c>
      <c r="P14" s="33">
        <v>0.4</v>
      </c>
    </row>
    <row r="15" spans="2:26" ht="45" customHeight="1" thickTop="1" thickBot="1" x14ac:dyDescent="0.3">
      <c r="B15" s="34" t="s">
        <v>22</v>
      </c>
      <c r="C15" s="95" t="s">
        <v>23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35" t="s">
        <v>21</v>
      </c>
      <c r="P15" s="36">
        <v>0.2</v>
      </c>
    </row>
    <row r="16" spans="2:26" ht="45" customHeight="1" thickTop="1" thickBot="1" x14ac:dyDescent="0.3">
      <c r="B16" s="100" t="s">
        <v>24</v>
      </c>
      <c r="C16" s="100"/>
      <c r="D16" s="100"/>
      <c r="E16" s="100"/>
      <c r="F16" s="97"/>
      <c r="G16" s="99"/>
      <c r="H16" s="37" t="s">
        <v>168</v>
      </c>
      <c r="I16" s="37" t="s">
        <v>25</v>
      </c>
      <c r="J16" s="37" t="s">
        <v>26</v>
      </c>
      <c r="K16" s="37" t="s">
        <v>27</v>
      </c>
      <c r="L16" s="37" t="s">
        <v>28</v>
      </c>
      <c r="M16" s="37" t="s">
        <v>29</v>
      </c>
      <c r="N16" s="37" t="s">
        <v>30</v>
      </c>
      <c r="O16" s="37" t="s">
        <v>31</v>
      </c>
      <c r="P16" s="37" t="s">
        <v>32</v>
      </c>
    </row>
    <row r="17" spans="2:16" ht="45" customHeight="1" thickTop="1" thickBot="1" x14ac:dyDescent="0.3">
      <c r="B17" s="38" t="s">
        <v>33</v>
      </c>
      <c r="C17" s="101" t="s">
        <v>34</v>
      </c>
      <c r="D17" s="102"/>
      <c r="E17" s="102"/>
      <c r="F17" s="102"/>
      <c r="G17" s="103"/>
      <c r="H17" s="39" t="s">
        <v>158</v>
      </c>
      <c r="I17" s="40">
        <v>182</v>
      </c>
      <c r="J17" s="40">
        <v>30</v>
      </c>
      <c r="K17" s="40">
        <v>151</v>
      </c>
      <c r="L17" s="41">
        <v>0.4</v>
      </c>
      <c r="M17" s="40">
        <v>141</v>
      </c>
      <c r="N17" s="41">
        <f>ROUND(IF(I17 &gt; K17, (IF(AND(M17 = K17, M17 = (I17 - J17)), 125 %,IF(AND(M17&lt;=(I17+J17),M17&gt;=(I17-J17)),100%,IF(M17&gt;(I17+J17),(I17+J17)/M17,IF((M17&lt;(I17-J17)),100%+ABS(M17-I17)*25%/ABS(K17-I17)))))),IF(AND(M17=K17,M17=(I17+J17)),125%,IF(AND(M17&lt;=(I17+J17),M17&gt;=(I17-J17)),100%,IF(AND(M17=K17,M17=(I17+J17)),125%,IF(M17&lt;(I17-J17),M17/(I17-J17),IF(M17&gt;(I17+J17),100%+(M17-I17)*25%/(K17-I17))))))),4)</f>
        <v>1.3306</v>
      </c>
      <c r="O17" s="45" t="str">
        <f>IF(N17 &gt;1,"Superou",IF(N17 =1,"Atingiu","Não atingiu"))</f>
        <v>Superou</v>
      </c>
      <c r="P17" s="41">
        <f>N17-100%</f>
        <v>0.3306</v>
      </c>
    </row>
    <row r="18" spans="2:16" ht="45" customHeight="1" thickTop="1" thickBot="1" x14ac:dyDescent="0.3">
      <c r="B18" s="38" t="s">
        <v>35</v>
      </c>
      <c r="C18" s="101" t="s">
        <v>36</v>
      </c>
      <c r="D18" s="102"/>
      <c r="E18" s="102"/>
      <c r="F18" s="102"/>
      <c r="G18" s="103"/>
      <c r="H18" s="39" t="s">
        <v>158</v>
      </c>
      <c r="I18" s="40">
        <v>30</v>
      </c>
      <c r="J18" s="40">
        <v>5</v>
      </c>
      <c r="K18" s="40">
        <v>36</v>
      </c>
      <c r="L18" s="41">
        <v>0.6</v>
      </c>
      <c r="M18" s="40">
        <v>44</v>
      </c>
      <c r="N18" s="41">
        <f>ROUND(IF(I18 &gt; K18, (IF(AND(M18 = K18, M18 = (I18 - J18)), 125 %,IF(AND(M18&lt;=(I18+J18),M18&gt;=(I18-J18)),100%,IF(M18&gt;(I18+J18),(I18+J18)/M18,IF((M18&lt;(I18-J18)),100%+ABS(M18-I18)*25%/ABS(K18-I18)))))),IF(AND(M18=K18,M18=(I18+J18)),125%,IF(AND(M18&lt;=(I18+J18),M18&gt;=(I18-J18)),100%,IF(AND(M18=K18,M18=(I18+J18)),125%,IF(M18&lt;(I18-J18),M18/(I18-J18),IF(M18&gt;(I18+J18),100%+(M18-I18)*25%/(K18-I18))))))),4)</f>
        <v>1.5832999999999999</v>
      </c>
      <c r="O18" s="45" t="str">
        <f>IF(N18 &gt;1,"Superou",IF(N18 =1,"Atingiu","Não atingiu"))</f>
        <v>Superou</v>
      </c>
      <c r="P18" s="41">
        <f>N18-100%</f>
        <v>0.58329999999999993</v>
      </c>
    </row>
    <row r="19" spans="2:16" ht="27" customHeight="1" thickTop="1" thickBot="1" x14ac:dyDescent="0.3">
      <c r="B19" s="82" t="s">
        <v>37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42">
        <f>L17*N17+L18*N18</f>
        <v>1.4822199999999999</v>
      </c>
    </row>
    <row r="20" spans="2:16" ht="45" customHeight="1" thickTop="1" thickBot="1" x14ac:dyDescent="0.3">
      <c r="B20" s="34" t="s">
        <v>38</v>
      </c>
      <c r="C20" s="95" t="s">
        <v>39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35" t="s">
        <v>21</v>
      </c>
      <c r="P20" s="36">
        <v>0.15</v>
      </c>
    </row>
    <row r="21" spans="2:16" ht="45" customHeight="1" thickTop="1" thickBot="1" x14ac:dyDescent="0.3">
      <c r="B21" s="100" t="s">
        <v>24</v>
      </c>
      <c r="C21" s="100"/>
      <c r="D21" s="100"/>
      <c r="E21" s="100"/>
      <c r="F21" s="97"/>
      <c r="G21" s="99"/>
      <c r="H21" s="37" t="s">
        <v>168</v>
      </c>
      <c r="I21" s="37" t="s">
        <v>25</v>
      </c>
      <c r="J21" s="37" t="s">
        <v>26</v>
      </c>
      <c r="K21" s="37" t="s">
        <v>27</v>
      </c>
      <c r="L21" s="37" t="s">
        <v>28</v>
      </c>
      <c r="M21" s="37" t="s">
        <v>29</v>
      </c>
      <c r="N21" s="37" t="s">
        <v>30</v>
      </c>
      <c r="O21" s="37" t="s">
        <v>31</v>
      </c>
      <c r="P21" s="37" t="s">
        <v>32</v>
      </c>
    </row>
    <row r="22" spans="2:16" ht="57" customHeight="1" thickTop="1" thickBot="1" x14ac:dyDescent="0.3">
      <c r="B22" s="38" t="s">
        <v>40</v>
      </c>
      <c r="C22" s="101" t="s">
        <v>41</v>
      </c>
      <c r="D22" s="102"/>
      <c r="E22" s="102"/>
      <c r="F22" s="102"/>
      <c r="G22" s="103"/>
      <c r="H22" s="39" t="s">
        <v>159</v>
      </c>
      <c r="I22" s="40">
        <v>85</v>
      </c>
      <c r="J22" s="40">
        <v>5</v>
      </c>
      <c r="K22" s="40">
        <v>100</v>
      </c>
      <c r="L22" s="41">
        <v>0.4</v>
      </c>
      <c r="M22" s="40">
        <v>86.84</v>
      </c>
      <c r="N22" s="41">
        <f>ROUND(IF(I22 &gt; K22, (IF(AND(M22 = K22, M22 = (I22 - J22)), 125 %,IF(AND(M22&lt;=(I22+J22),M22&gt;=(I22-J22)),100%,IF(M22&gt;(I22+J22),(I22+J22)/M22,IF((M22&lt;(I22-J22)),100%+ABS(M22-I22)*25%/ABS(K22-I22)))))),IF(AND(M22=K22,M22=(I22+J22)),125%,IF(AND(M22&lt;=(I22+J22),M22&gt;=(I22-J22)),100%,IF(AND(M22=K22,M22=(I22+J22)),125%,IF(M22&lt;(I22-J22),M22/(I22-J22),IF(M22&gt;(I22+J22),100%+(M22-I22)*25%/(K22-I22))))))),4)</f>
        <v>1</v>
      </c>
      <c r="O22" s="45" t="str">
        <f>IF(N22 &gt;1,"Superou",IF(N22 =1,"Atingiu","Não atingiu"))</f>
        <v>Atingiu</v>
      </c>
      <c r="P22" s="41">
        <f>N22-100%</f>
        <v>0</v>
      </c>
    </row>
    <row r="23" spans="2:16" ht="45" customHeight="1" thickTop="1" thickBot="1" x14ac:dyDescent="0.3">
      <c r="B23" s="38" t="s">
        <v>42</v>
      </c>
      <c r="C23" s="101" t="s">
        <v>43</v>
      </c>
      <c r="D23" s="102"/>
      <c r="E23" s="102"/>
      <c r="F23" s="102"/>
      <c r="G23" s="103"/>
      <c r="H23" s="39" t="s">
        <v>159</v>
      </c>
      <c r="I23" s="40">
        <v>30</v>
      </c>
      <c r="J23" s="40">
        <v>3</v>
      </c>
      <c r="K23" s="40">
        <v>26</v>
      </c>
      <c r="L23" s="41">
        <v>0.6</v>
      </c>
      <c r="M23" s="40">
        <v>26</v>
      </c>
      <c r="N23" s="41">
        <f>ROUND(IF(I23 &gt; K23, (IF(AND(M23 = K23, M23 = (I23 - J23)), 125 %,IF(AND(M23&lt;=(I23+J23),M23&gt;=(I23-J23)),100%,IF(M23&gt;(I23+J23),(I23+J23)/M23,IF((M23&lt;(I23-J23)),100%+ABS(M23-I23)*25%/ABS(K23-I23)))))),IF(AND(M23=K23,M23=(I23+J23)),125%,IF(AND(M23&lt;=(I23+J23),M23&gt;=(I23-J23)),100%,IF(AND(M23=K23,M23=(I23+J23)),125%,IF(M23&lt;(I23-J23),M23/(I23-J23),IF(M23&gt;(I23+J23),100%+(M23-I23)*25%/(K23-I23))))))),4)</f>
        <v>1.25</v>
      </c>
      <c r="O23" s="45" t="str">
        <f>IF(N23 &gt;1,"Superou",IF(N23 =1,"Atingiu","Não atingiu"))</f>
        <v>Superou</v>
      </c>
      <c r="P23" s="41">
        <f>N23-100%</f>
        <v>0.25</v>
      </c>
    </row>
    <row r="24" spans="2:16" ht="27" customHeight="1" thickTop="1" thickBot="1" x14ac:dyDescent="0.3">
      <c r="B24" s="82" t="s">
        <v>37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42">
        <f>L22*N22+L23*N23</f>
        <v>1.1499999999999999</v>
      </c>
    </row>
    <row r="25" spans="2:16" ht="45" customHeight="1" thickTop="1" thickBot="1" x14ac:dyDescent="0.3">
      <c r="B25" s="34" t="s">
        <v>44</v>
      </c>
      <c r="C25" s="95" t="s">
        <v>45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35" t="s">
        <v>21</v>
      </c>
      <c r="P25" s="36">
        <v>0.25</v>
      </c>
    </row>
    <row r="26" spans="2:16" ht="45" customHeight="1" thickTop="1" thickBot="1" x14ac:dyDescent="0.3">
      <c r="B26" s="100" t="s">
        <v>24</v>
      </c>
      <c r="C26" s="100"/>
      <c r="D26" s="100"/>
      <c r="E26" s="100"/>
      <c r="F26" s="97"/>
      <c r="G26" s="99"/>
      <c r="H26" s="37" t="s">
        <v>168</v>
      </c>
      <c r="I26" s="37" t="s">
        <v>25</v>
      </c>
      <c r="J26" s="37" t="s">
        <v>26</v>
      </c>
      <c r="K26" s="37" t="s">
        <v>27</v>
      </c>
      <c r="L26" s="37" t="s">
        <v>28</v>
      </c>
      <c r="M26" s="37" t="s">
        <v>29</v>
      </c>
      <c r="N26" s="37" t="s">
        <v>30</v>
      </c>
      <c r="O26" s="37" t="s">
        <v>31</v>
      </c>
      <c r="P26" s="37" t="s">
        <v>32</v>
      </c>
    </row>
    <row r="27" spans="2:16" ht="45" customHeight="1" thickTop="1" thickBot="1" x14ac:dyDescent="0.3">
      <c r="B27" s="38" t="s">
        <v>46</v>
      </c>
      <c r="C27" s="101" t="s">
        <v>47</v>
      </c>
      <c r="D27" s="102"/>
      <c r="E27" s="102"/>
      <c r="F27" s="102"/>
      <c r="G27" s="103"/>
      <c r="H27" s="39" t="s">
        <v>160</v>
      </c>
      <c r="I27" s="40">
        <v>90</v>
      </c>
      <c r="J27" s="40">
        <v>5</v>
      </c>
      <c r="K27" s="40">
        <v>100</v>
      </c>
      <c r="L27" s="41">
        <v>0.5</v>
      </c>
      <c r="M27" s="40">
        <v>97.93</v>
      </c>
      <c r="N27" s="41">
        <f>ROUND(IF(I27 &gt; K27, (IF(AND(M27 = K27, M27 = (I27 - J27)), 125 %,IF(AND(M27&lt;=(I27+J27),M27&gt;=(I27-J27)),100%,IF(M27&gt;(I27+J27),(I27+J27)/M27,IF((M27&lt;(I27-J27)),100%+ABS(M27-I27)*25%/ABS(K27-I27)))))),IF(AND(M27=K27,M27=(I27+J27)),125%,IF(AND(M27&lt;=(I27+J27),M27&gt;=(I27-J27)),100%,IF(AND(M27=K27,M27=(I27+J27)),125%,IF(M27&lt;(I27-J27),M27/(I27-J27),IF(M27&gt;(I27+J27),100%+(M27-I27)*25%/(K27-I27))))))),4)</f>
        <v>1.1982999999999999</v>
      </c>
      <c r="O27" s="45" t="str">
        <f>IF(N27 &gt;1,"Superou",IF(N27 =1,"Atingiu","Não atingiu"))</f>
        <v>Superou</v>
      </c>
      <c r="P27" s="41">
        <f>N27-100%</f>
        <v>0.19829999999999992</v>
      </c>
    </row>
    <row r="28" spans="2:16" ht="45" customHeight="1" thickTop="1" thickBot="1" x14ac:dyDescent="0.3">
      <c r="B28" s="38" t="s">
        <v>48</v>
      </c>
      <c r="C28" s="101" t="s">
        <v>49</v>
      </c>
      <c r="D28" s="102"/>
      <c r="E28" s="102"/>
      <c r="F28" s="102"/>
      <c r="G28" s="103"/>
      <c r="H28" s="39" t="s">
        <v>160</v>
      </c>
      <c r="I28" s="40">
        <v>90</v>
      </c>
      <c r="J28" s="40">
        <v>5</v>
      </c>
      <c r="K28" s="40">
        <v>100</v>
      </c>
      <c r="L28" s="41">
        <v>0.5</v>
      </c>
      <c r="M28" s="40">
        <v>99.45</v>
      </c>
      <c r="N28" s="41">
        <f>ROUND(IF(I28 &gt; K28, (IF(AND(M28 = K28, M28 = (I28 - J28)), 125 %,IF(AND(M28&lt;=(I28+J28),M28&gt;=(I28-J28)),100%,IF(M28&gt;(I28+J28),(I28+J28)/M28,IF((M28&lt;(I28-J28)),100%+ABS(M28-I28)*25%/ABS(K28-I28)))))),IF(AND(M28=K28,M28=(I28+J28)),125%,IF(AND(M28&lt;=(I28+J28),M28&gt;=(I28-J28)),100%,IF(AND(M28=K28,M28=(I28+J28)),125%,IF(M28&lt;(I28-J28),M28/(I28-J28),IF(M28&gt;(I28+J28),100%+(M28-I28)*25%/(K28-I28))))))),4)</f>
        <v>1.2363</v>
      </c>
      <c r="O28" s="45" t="str">
        <f>IF(N28 &gt;1,"Superou",IF(N28 =1,"Atingiu","Não atingiu"))</f>
        <v>Superou</v>
      </c>
      <c r="P28" s="41">
        <f>N28-100%</f>
        <v>0.23629999999999995</v>
      </c>
    </row>
    <row r="29" spans="2:16" ht="27" customHeight="1" thickTop="1" thickBot="1" x14ac:dyDescent="0.3">
      <c r="B29" s="82" t="s">
        <v>37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42">
        <f>L27*N27+L28*N28</f>
        <v>1.2172999999999998</v>
      </c>
    </row>
    <row r="30" spans="2:16" ht="45" customHeight="1" thickTop="1" thickBot="1" x14ac:dyDescent="0.3">
      <c r="B30" s="34" t="s">
        <v>44</v>
      </c>
      <c r="C30" s="95" t="s">
        <v>50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35" t="s">
        <v>21</v>
      </c>
      <c r="P30" s="36">
        <v>0.1</v>
      </c>
    </row>
    <row r="31" spans="2:16" ht="45" customHeight="1" thickTop="1" thickBot="1" x14ac:dyDescent="0.3">
      <c r="B31" s="100" t="s">
        <v>24</v>
      </c>
      <c r="C31" s="100"/>
      <c r="D31" s="100"/>
      <c r="E31" s="100"/>
      <c r="F31" s="97"/>
      <c r="G31" s="99"/>
      <c r="H31" s="37" t="s">
        <v>168</v>
      </c>
      <c r="I31" s="37" t="s">
        <v>25</v>
      </c>
      <c r="J31" s="37" t="s">
        <v>26</v>
      </c>
      <c r="K31" s="37" t="s">
        <v>27</v>
      </c>
      <c r="L31" s="37" t="s">
        <v>28</v>
      </c>
      <c r="M31" s="37" t="s">
        <v>29</v>
      </c>
      <c r="N31" s="37" t="s">
        <v>30</v>
      </c>
      <c r="O31" s="37" t="s">
        <v>31</v>
      </c>
      <c r="P31" s="37" t="s">
        <v>32</v>
      </c>
    </row>
    <row r="32" spans="2:16" ht="45" customHeight="1" thickTop="1" thickBot="1" x14ac:dyDescent="0.3">
      <c r="B32" s="38" t="s">
        <v>51</v>
      </c>
      <c r="C32" s="101" t="s">
        <v>47</v>
      </c>
      <c r="D32" s="102"/>
      <c r="E32" s="102"/>
      <c r="F32" s="102"/>
      <c r="G32" s="103"/>
      <c r="H32" s="39" t="s">
        <v>160</v>
      </c>
      <c r="I32" s="40">
        <v>90</v>
      </c>
      <c r="J32" s="40">
        <v>5</v>
      </c>
      <c r="K32" s="40">
        <v>100</v>
      </c>
      <c r="L32" s="41">
        <v>0.5</v>
      </c>
      <c r="M32" s="40">
        <v>100</v>
      </c>
      <c r="N32" s="41">
        <f>ROUND(IF(I32 &gt; K32, (IF(AND(M32 = K32, M32 = (I32 - J32)), 125 %,IF(AND(M32&lt;=(I32+J32),M32&gt;=(I32-J32)),100%,IF(M32&gt;(I32+J32),(I32+J32)/M32,IF((M32&lt;(I32-J32)),100%+ABS(M32-I32)*25%/ABS(K32-I32)))))),IF(AND(M32=K32,M32=(I32+J32)),125%,IF(AND(M32&lt;=(I32+J32),M32&gt;=(I32-J32)),100%,IF(AND(M32=K32,M32=(I32+J32)),125%,IF(M32&lt;(I32-J32),M32/(I32-J32),IF(M32&gt;(I32+J32),100%+(M32-I32)*25%/(K32-I32))))))),4)</f>
        <v>1.25</v>
      </c>
      <c r="O32" s="45" t="str">
        <f>IF(N32 &gt;1,"Superou",IF(N32 =1,"Atingiu","Não atingiu"))</f>
        <v>Superou</v>
      </c>
      <c r="P32" s="41">
        <f>N32-100%</f>
        <v>0.25</v>
      </c>
    </row>
    <row r="33" spans="2:16" ht="45" customHeight="1" thickTop="1" thickBot="1" x14ac:dyDescent="0.3">
      <c r="B33" s="38" t="s">
        <v>52</v>
      </c>
      <c r="C33" s="101" t="s">
        <v>53</v>
      </c>
      <c r="D33" s="102"/>
      <c r="E33" s="102"/>
      <c r="F33" s="102"/>
      <c r="G33" s="103"/>
      <c r="H33" s="39" t="s">
        <v>160</v>
      </c>
      <c r="I33" s="40">
        <v>90</v>
      </c>
      <c r="J33" s="40">
        <v>5</v>
      </c>
      <c r="K33" s="40">
        <v>100</v>
      </c>
      <c r="L33" s="41">
        <v>0.5</v>
      </c>
      <c r="M33" s="40">
        <v>100</v>
      </c>
      <c r="N33" s="41">
        <f>ROUND(IF(I33 &gt; K33, (IF(AND(M33 = K33, M33 = (I33 - J33)), 125 %,IF(AND(M33&lt;=(I33+J33),M33&gt;=(I33-J33)),100%,IF(M33&gt;(I33+J33),(I33+J33)/M33,IF((M33&lt;(I33-J33)),100%+ABS(M33-I33)*25%/ABS(K33-I33)))))),IF(AND(M33=K33,M33=(I33+J33)),125%,IF(AND(M33&lt;=(I33+J33),M33&gt;=(I33-J33)),100%,IF(AND(M33=K33,M33=(I33+J33)),125%,IF(M33&lt;(I33-J33),M33/(I33-J33),IF(M33&gt;(I33+J33),100%+(M33-I33)*25%/(K33-I33))))))),4)</f>
        <v>1.25</v>
      </c>
      <c r="O33" s="45" t="str">
        <f>IF(N33 &gt;1,"Superou",IF(N33 =1,"Atingiu","Não atingiu"))</f>
        <v>Superou</v>
      </c>
      <c r="P33" s="41">
        <f>N33-100%</f>
        <v>0.25</v>
      </c>
    </row>
    <row r="34" spans="2:16" ht="27" customHeight="1" thickTop="1" thickBot="1" x14ac:dyDescent="0.3">
      <c r="B34" s="82" t="s">
        <v>37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42">
        <f>L32*N32+L33*N33</f>
        <v>1.25</v>
      </c>
    </row>
    <row r="35" spans="2:16" ht="45" customHeight="1" thickTop="1" thickBot="1" x14ac:dyDescent="0.3">
      <c r="B35" s="34" t="s">
        <v>54</v>
      </c>
      <c r="C35" s="95" t="s">
        <v>55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35" t="s">
        <v>21</v>
      </c>
      <c r="P35" s="36">
        <v>0.3</v>
      </c>
    </row>
    <row r="36" spans="2:16" ht="45" customHeight="1" thickTop="1" thickBot="1" x14ac:dyDescent="0.3">
      <c r="B36" s="100" t="s">
        <v>24</v>
      </c>
      <c r="C36" s="100"/>
      <c r="D36" s="100"/>
      <c r="E36" s="100"/>
      <c r="F36" s="97"/>
      <c r="G36" s="99"/>
      <c r="H36" s="37" t="s">
        <v>168</v>
      </c>
      <c r="I36" s="37" t="s">
        <v>25</v>
      </c>
      <c r="J36" s="37" t="s">
        <v>26</v>
      </c>
      <c r="K36" s="37" t="s">
        <v>27</v>
      </c>
      <c r="L36" s="37" t="s">
        <v>28</v>
      </c>
      <c r="M36" s="37" t="s">
        <v>29</v>
      </c>
      <c r="N36" s="37" t="s">
        <v>30</v>
      </c>
      <c r="O36" s="37" t="s">
        <v>31</v>
      </c>
      <c r="P36" s="37" t="s">
        <v>32</v>
      </c>
    </row>
    <row r="37" spans="2:16" ht="45" customHeight="1" thickTop="1" thickBot="1" x14ac:dyDescent="0.3">
      <c r="B37" s="38" t="s">
        <v>56</v>
      </c>
      <c r="C37" s="101" t="s">
        <v>57</v>
      </c>
      <c r="D37" s="102"/>
      <c r="E37" s="102"/>
      <c r="F37" s="102"/>
      <c r="G37" s="103"/>
      <c r="H37" s="39" t="s">
        <v>161</v>
      </c>
      <c r="I37" s="40">
        <v>4.5999999999999996</v>
      </c>
      <c r="J37" s="40">
        <v>1</v>
      </c>
      <c r="K37" s="40">
        <v>7</v>
      </c>
      <c r="L37" s="41">
        <v>0.2</v>
      </c>
      <c r="M37" s="40">
        <v>1.87</v>
      </c>
      <c r="N37" s="41">
        <f>ROUND(IF(I37 &gt; K37, (IF(AND(M37 = K37, M37 = (I37 - J37)), 125 %,IF(AND(M37&lt;=(I37+J37),M37&gt;=(I37-J37)),100%,IF(M37&gt;(I37+J37),(I37+J37)/M37,IF((M37&lt;(I37-J37)),100%+ABS(M37-I37)*25%/ABS(K37-I37)))))),IF(AND(M37=K37,M37=(I37+J37)),125%,IF(AND(M37&lt;=(I37+J37),M37&gt;=(I37-J37)),100%,IF(AND(M37=K37,M37=(I37+J37)),125%,IF(M37&lt;(I37-J37),M37/(I37-J37),IF(M37&gt;(I37+J37),100%+(M37-I37)*25%/(K37-I37))))))),4)</f>
        <v>0.51939999999999997</v>
      </c>
      <c r="O37" s="45" t="str">
        <f>IF(N37 &gt;1,"Superou",IF(N37 =1,"Atingiu","Não atingiu"))</f>
        <v>Não atingiu</v>
      </c>
      <c r="P37" s="41">
        <f>N37-100%</f>
        <v>-0.48060000000000003</v>
      </c>
    </row>
    <row r="38" spans="2:16" ht="45" customHeight="1" thickTop="1" thickBot="1" x14ac:dyDescent="0.3">
      <c r="B38" s="38" t="s">
        <v>58</v>
      </c>
      <c r="C38" s="101" t="s">
        <v>59</v>
      </c>
      <c r="D38" s="102"/>
      <c r="E38" s="102"/>
      <c r="F38" s="102"/>
      <c r="G38" s="103"/>
      <c r="H38" s="39" t="s">
        <v>161</v>
      </c>
      <c r="I38" s="40">
        <v>26</v>
      </c>
      <c r="J38" s="40">
        <v>7</v>
      </c>
      <c r="K38" s="40">
        <v>41</v>
      </c>
      <c r="L38" s="41">
        <v>0.8</v>
      </c>
      <c r="M38" s="40">
        <v>54.72</v>
      </c>
      <c r="N38" s="41">
        <f>ROUND(IF(I38 &gt; K38, (IF(AND(M38 = K38, M38 = (I38 - J38)), 125 %,IF(AND(M38&lt;=(I38+J38),M38&gt;=(I38-J38)),100%,IF(M38&gt;(I38+J38),(I38+J38)/M38,IF((M38&lt;(I38-J38)),100%+ABS(M38-I38)*25%/ABS(K38-I38)))))),IF(AND(M38=K38,M38=(I38+J38)),125%,IF(AND(M38&lt;=(I38+J38),M38&gt;=(I38-J38)),100%,IF(AND(M38=K38,M38=(I38+J38)),125%,IF(M38&lt;(I38-J38),M38/(I38-J38),IF(M38&gt;(I38+J38),100%+(M38-I38)*25%/(K38-I38))))))),4)</f>
        <v>1.4786999999999999</v>
      </c>
      <c r="O38" s="45" t="str">
        <f>IF(N38 &gt;1,"Superou",IF(N38 =1,"Atingiu","Não atingiu"))</f>
        <v>Superou</v>
      </c>
      <c r="P38" s="41">
        <f>N38-100%</f>
        <v>0.4786999999999999</v>
      </c>
    </row>
    <row r="39" spans="2:16" ht="27" customHeight="1" thickTop="1" x14ac:dyDescent="0.25">
      <c r="B39" s="82" t="s">
        <v>37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42">
        <f>L37*N37+L38*N38</f>
        <v>1.28684</v>
      </c>
    </row>
    <row r="40" spans="2:16" ht="45" customHeight="1" thickBot="1" x14ac:dyDescent="0.3">
      <c r="B40" s="104" t="s">
        <v>60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5" t="s">
        <v>21</v>
      </c>
      <c r="P40" s="6">
        <v>0.3</v>
      </c>
    </row>
    <row r="41" spans="2:16" ht="45" customHeight="1" thickTop="1" thickBot="1" x14ac:dyDescent="0.3">
      <c r="B41" s="34" t="s">
        <v>61</v>
      </c>
      <c r="C41" s="95" t="s">
        <v>62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35" t="s">
        <v>21</v>
      </c>
      <c r="P41" s="36">
        <v>0.35</v>
      </c>
    </row>
    <row r="42" spans="2:16" ht="45" customHeight="1" thickTop="1" thickBot="1" x14ac:dyDescent="0.3">
      <c r="B42" s="100" t="s">
        <v>24</v>
      </c>
      <c r="C42" s="100"/>
      <c r="D42" s="100"/>
      <c r="E42" s="100"/>
      <c r="F42" s="97"/>
      <c r="G42" s="99"/>
      <c r="H42" s="37" t="s">
        <v>168</v>
      </c>
      <c r="I42" s="37" t="s">
        <v>25</v>
      </c>
      <c r="J42" s="37" t="s">
        <v>26</v>
      </c>
      <c r="K42" s="37" t="s">
        <v>27</v>
      </c>
      <c r="L42" s="37" t="s">
        <v>28</v>
      </c>
      <c r="M42" s="37" t="s">
        <v>29</v>
      </c>
      <c r="N42" s="37" t="s">
        <v>30</v>
      </c>
      <c r="O42" s="37" t="s">
        <v>31</v>
      </c>
      <c r="P42" s="37" t="s">
        <v>32</v>
      </c>
    </row>
    <row r="43" spans="2:16" ht="45" customHeight="1" thickTop="1" thickBot="1" x14ac:dyDescent="0.3">
      <c r="B43" s="38" t="s">
        <v>63</v>
      </c>
      <c r="C43" s="106" t="s">
        <v>64</v>
      </c>
      <c r="D43" s="107"/>
      <c r="E43" s="107"/>
      <c r="F43" s="107"/>
      <c r="G43" s="108"/>
      <c r="H43" s="39" t="s">
        <v>162</v>
      </c>
      <c r="I43" s="40">
        <v>85</v>
      </c>
      <c r="J43" s="40">
        <v>10</v>
      </c>
      <c r="K43" s="40">
        <v>100</v>
      </c>
      <c r="L43" s="41">
        <v>1</v>
      </c>
      <c r="M43" s="40">
        <v>100</v>
      </c>
      <c r="N43" s="41">
        <f>ROUND(IF(I43 &gt; K43, (IF(AND(M43 = K43, M43 = (I43 - J43)), 125 %,IF(AND(M43&lt;=(I43+J43),M43&gt;=(I43-J43)),100%,IF(M43&gt;(I43+J43),(I43+J43)/M43,IF((M43&lt;(I43-J43)),100%+ABS(M43-I43)*25%/ABS(K43-I43)))))),IF(AND(M43=K43,M43=(I43+J43)),125%,IF(AND(M43&lt;=(I43+J43),M43&gt;=(I43-J43)),100%,IF(AND(M43=K43,M43=(I43+J43)),125%,IF(M43&lt;(I43-J43),M43/(I43-J43),IF(M43&gt;(I43+J43),100%+(M43-I43)*25%/(K43-I43))))))),4)</f>
        <v>1.25</v>
      </c>
      <c r="O43" s="40" t="str">
        <f>IF(N43 &gt;1,"Superou",IF(N43 =1,"Atingiu","Não atingiu"))</f>
        <v>Superou</v>
      </c>
      <c r="P43" s="41">
        <f>N43-100%</f>
        <v>0.25</v>
      </c>
    </row>
    <row r="44" spans="2:16" ht="27" customHeight="1" thickTop="1" thickBot="1" x14ac:dyDescent="0.3">
      <c r="B44" s="82" t="s">
        <v>37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42">
        <f>L43*N43</f>
        <v>1.25</v>
      </c>
    </row>
    <row r="45" spans="2:16" ht="45" customHeight="1" thickTop="1" thickBot="1" x14ac:dyDescent="0.3">
      <c r="B45" s="34" t="s">
        <v>38</v>
      </c>
      <c r="C45" s="95" t="s">
        <v>65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35" t="s">
        <v>21</v>
      </c>
      <c r="P45" s="36">
        <v>0.35</v>
      </c>
    </row>
    <row r="46" spans="2:16" ht="45" customHeight="1" thickTop="1" thickBot="1" x14ac:dyDescent="0.3">
      <c r="B46" s="100" t="s">
        <v>24</v>
      </c>
      <c r="C46" s="100"/>
      <c r="D46" s="100"/>
      <c r="E46" s="100"/>
      <c r="F46" s="97"/>
      <c r="G46" s="99"/>
      <c r="H46" s="37" t="s">
        <v>168</v>
      </c>
      <c r="I46" s="37" t="s">
        <v>25</v>
      </c>
      <c r="J46" s="37" t="s">
        <v>26</v>
      </c>
      <c r="K46" s="37" t="s">
        <v>27</v>
      </c>
      <c r="L46" s="37" t="s">
        <v>28</v>
      </c>
      <c r="M46" s="37" t="s">
        <v>29</v>
      </c>
      <c r="N46" s="37" t="s">
        <v>30</v>
      </c>
      <c r="O46" s="37" t="s">
        <v>31</v>
      </c>
      <c r="P46" s="37" t="s">
        <v>32</v>
      </c>
    </row>
    <row r="47" spans="2:16" ht="45" customHeight="1" thickTop="1" thickBot="1" x14ac:dyDescent="0.3">
      <c r="B47" s="38" t="s">
        <v>66</v>
      </c>
      <c r="C47" s="101" t="s">
        <v>67</v>
      </c>
      <c r="D47" s="102"/>
      <c r="E47" s="102"/>
      <c r="F47" s="102"/>
      <c r="G47" s="103"/>
      <c r="H47" s="39" t="s">
        <v>163</v>
      </c>
      <c r="I47" s="40">
        <v>90</v>
      </c>
      <c r="J47" s="40">
        <v>5</v>
      </c>
      <c r="K47" s="40">
        <v>100</v>
      </c>
      <c r="L47" s="41">
        <v>1</v>
      </c>
      <c r="M47" s="40">
        <v>107.75</v>
      </c>
      <c r="N47" s="41">
        <f>ROUND(IF(I47 &gt; K47, (IF(AND(M47 = K47, M47 = (I47 - J47)), 125 %,IF(AND(M47&lt;=(I47+J47),M47&gt;=(I47-J47)),100%,IF(M47&gt;(I47+J47),(I47+J47)/M47,IF((M47&lt;(I47-J47)),100%+ABS(M47-I47)*25%/ABS(K47-I47)))))),IF(AND(M47=K47,M47=(I47+J47)),125%,IF(AND(M47&lt;=(I47+J47),M47&gt;=(I47-J47)),100%,IF(AND(M47=K47,M47=(I47+J47)),125%,IF(M47&lt;(I47-J47),M47/(I47-J47),IF(M47&gt;(I47+J47),100%+(M47-I47)*25%/(K47-I47))))))),4)</f>
        <v>1.4438</v>
      </c>
      <c r="O47" s="40" t="str">
        <f>IF(N47 &gt;1,"Superou",IF(N47 =1,"Atingiu","Não atingiu"))</f>
        <v>Superou</v>
      </c>
      <c r="P47" s="41">
        <f>N47-100%</f>
        <v>0.44379999999999997</v>
      </c>
    </row>
    <row r="48" spans="2:16" ht="27" customHeight="1" thickTop="1" thickBot="1" x14ac:dyDescent="0.3">
      <c r="B48" s="82" t="s">
        <v>37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42">
        <f>L47*N47</f>
        <v>1.4438</v>
      </c>
    </row>
    <row r="49" spans="2:16" ht="45" customHeight="1" thickTop="1" thickBot="1" x14ac:dyDescent="0.3">
      <c r="B49" s="34" t="s">
        <v>61</v>
      </c>
      <c r="C49" s="95" t="s">
        <v>68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35" t="s">
        <v>21</v>
      </c>
      <c r="P49" s="36">
        <v>0.3</v>
      </c>
    </row>
    <row r="50" spans="2:16" ht="45" customHeight="1" thickTop="1" thickBot="1" x14ac:dyDescent="0.3">
      <c r="B50" s="100" t="s">
        <v>24</v>
      </c>
      <c r="C50" s="100"/>
      <c r="D50" s="100"/>
      <c r="E50" s="100"/>
      <c r="F50" s="97"/>
      <c r="G50" s="99"/>
      <c r="H50" s="37" t="s">
        <v>168</v>
      </c>
      <c r="I50" s="37" t="s">
        <v>25</v>
      </c>
      <c r="J50" s="37" t="s">
        <v>26</v>
      </c>
      <c r="K50" s="37" t="s">
        <v>27</v>
      </c>
      <c r="L50" s="37" t="s">
        <v>28</v>
      </c>
      <c r="M50" s="37" t="s">
        <v>29</v>
      </c>
      <c r="N50" s="37" t="s">
        <v>30</v>
      </c>
      <c r="O50" s="37" t="s">
        <v>31</v>
      </c>
      <c r="P50" s="37" t="s">
        <v>32</v>
      </c>
    </row>
    <row r="51" spans="2:16" ht="45" customHeight="1" thickTop="1" thickBot="1" x14ac:dyDescent="0.3">
      <c r="B51" s="38" t="s">
        <v>69</v>
      </c>
      <c r="C51" s="106" t="s">
        <v>70</v>
      </c>
      <c r="D51" s="107"/>
      <c r="E51" s="107"/>
      <c r="F51" s="107"/>
      <c r="G51" s="108"/>
      <c r="H51" s="39" t="s">
        <v>164</v>
      </c>
      <c r="I51" s="40">
        <v>40</v>
      </c>
      <c r="J51" s="40">
        <v>10</v>
      </c>
      <c r="K51" s="40">
        <v>63</v>
      </c>
      <c r="L51" s="41">
        <v>1</v>
      </c>
      <c r="M51" s="40">
        <v>46</v>
      </c>
      <c r="N51" s="41">
        <f>ROUND(IF(I51 &gt; K51, (IF(AND(M51 = K51, M51 = (I51 - J51)), 125 %,IF(AND(M51&lt;=(I51+J51),M51&gt;=(I51-J51)),100%,IF(M51&gt;(I51+J51),(I51+J51)/M51,IF((M51&lt;(I51-J51)),100%+ABS(M51-I51)*25%/ABS(K51-I51)))))),IF(AND(M51=K51,M51=(I51+J51)),125%,IF(AND(M51&lt;=(I51+J51),M51&gt;=(I51-J51)),100%,IF(AND(M51=K51,M51=(I51+J51)),125%,IF(M51&lt;(I51-J51),M51/(I51-J51),IF(M51&gt;(I51+J51),100%+(M51-I51)*25%/(K51-I51))))))),4)</f>
        <v>1</v>
      </c>
      <c r="O51" s="45" t="str">
        <f>IF(N51 &gt;1,"Superou",IF(N51 =1,"Atingiu","Não atingiu"))</f>
        <v>Atingiu</v>
      </c>
      <c r="P51" s="41">
        <f>N51-100%</f>
        <v>0</v>
      </c>
    </row>
    <row r="52" spans="2:16" ht="27" customHeight="1" thickTop="1" x14ac:dyDescent="0.25">
      <c r="B52" s="82" t="s">
        <v>37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42">
        <f>L51*N51</f>
        <v>1</v>
      </c>
    </row>
    <row r="53" spans="2:16" ht="45" customHeight="1" thickBot="1" x14ac:dyDescent="0.3">
      <c r="B53" s="104" t="s">
        <v>71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5" t="s">
        <v>21</v>
      </c>
      <c r="P53" s="6">
        <v>0.3</v>
      </c>
    </row>
    <row r="54" spans="2:16" ht="45" customHeight="1" thickTop="1" thickBot="1" x14ac:dyDescent="0.3">
      <c r="B54" s="34" t="s">
        <v>61</v>
      </c>
      <c r="C54" s="95" t="s">
        <v>72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35" t="s">
        <v>21</v>
      </c>
      <c r="P54" s="36">
        <v>0.4</v>
      </c>
    </row>
    <row r="55" spans="2:16" ht="45" customHeight="1" thickTop="1" thickBot="1" x14ac:dyDescent="0.3">
      <c r="B55" s="100" t="s">
        <v>24</v>
      </c>
      <c r="C55" s="100"/>
      <c r="D55" s="100"/>
      <c r="E55" s="100"/>
      <c r="F55" s="97"/>
      <c r="G55" s="99"/>
      <c r="H55" s="37" t="s">
        <v>168</v>
      </c>
      <c r="I55" s="37" t="s">
        <v>25</v>
      </c>
      <c r="J55" s="37" t="s">
        <v>26</v>
      </c>
      <c r="K55" s="37" t="s">
        <v>27</v>
      </c>
      <c r="L55" s="37" t="s">
        <v>28</v>
      </c>
      <c r="M55" s="37" t="s">
        <v>29</v>
      </c>
      <c r="N55" s="37" t="s">
        <v>30</v>
      </c>
      <c r="O55" s="37" t="s">
        <v>31</v>
      </c>
      <c r="P55" s="37" t="s">
        <v>32</v>
      </c>
    </row>
    <row r="56" spans="2:16" ht="45" customHeight="1" thickTop="1" thickBot="1" x14ac:dyDescent="0.3">
      <c r="B56" s="38" t="s">
        <v>73</v>
      </c>
      <c r="C56" s="101" t="s">
        <v>74</v>
      </c>
      <c r="D56" s="102"/>
      <c r="E56" s="102"/>
      <c r="F56" s="102"/>
      <c r="G56" s="103"/>
      <c r="H56" s="39" t="s">
        <v>165</v>
      </c>
      <c r="I56" s="40">
        <v>350</v>
      </c>
      <c r="J56" s="40">
        <v>15</v>
      </c>
      <c r="K56" s="40">
        <v>335</v>
      </c>
      <c r="L56" s="41">
        <v>1</v>
      </c>
      <c r="M56" s="40">
        <v>322</v>
      </c>
      <c r="N56" s="41">
        <f>ROUND(IF(I56 &gt; K56, (IF(AND(M56 = K56, M56 = (I56 - J56)), 125 %,IF(AND(M56&lt;=(I56+J56),M56&gt;=(I56-J56)),100%,IF(M56&gt;(I56+J56),(I56+J56)/M56,IF((M56&lt;(I56-J56)),100%+ABS(M56-I56)*25%/ABS(K56-I56)))))),IF(AND(M56=K56,M56=(I56+J56)),125%,IF(AND(M56&lt;=(I56+J56),M56&gt;=(I56-J56)),100%,IF(AND(M56=K56,M56=(I56+J56)),125%,IF(M56&lt;(I56-J56),M56/(I56-J56),IF(M56&gt;(I56+J56),100%+(M56-I56)*25%/(K56-I56))))))),4)</f>
        <v>1.4666999999999999</v>
      </c>
      <c r="O56" s="40" t="str">
        <f>IF(N56 &gt;1,"Superou",IF(N56 =1,"Atingiu","Não atingiu"))</f>
        <v>Superou</v>
      </c>
      <c r="P56" s="41">
        <f>N56-100%</f>
        <v>0.46669999999999989</v>
      </c>
    </row>
    <row r="57" spans="2:16" ht="27" customHeight="1" thickTop="1" thickBot="1" x14ac:dyDescent="0.3">
      <c r="B57" s="82" t="s">
        <v>37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42">
        <f>L56*N56</f>
        <v>1.4666999999999999</v>
      </c>
    </row>
    <row r="58" spans="2:16" ht="45" customHeight="1" thickTop="1" thickBot="1" x14ac:dyDescent="0.3">
      <c r="B58" s="34" t="s">
        <v>75</v>
      </c>
      <c r="C58" s="95" t="s">
        <v>76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35" t="s">
        <v>21</v>
      </c>
      <c r="P58" s="36">
        <v>0.2</v>
      </c>
    </row>
    <row r="59" spans="2:16" ht="45" customHeight="1" thickTop="1" thickBot="1" x14ac:dyDescent="0.3">
      <c r="B59" s="100" t="s">
        <v>24</v>
      </c>
      <c r="C59" s="100"/>
      <c r="D59" s="100"/>
      <c r="E59" s="100"/>
      <c r="F59" s="97"/>
      <c r="G59" s="99"/>
      <c r="H59" s="37" t="s">
        <v>168</v>
      </c>
      <c r="I59" s="37" t="s">
        <v>25</v>
      </c>
      <c r="J59" s="37" t="s">
        <v>26</v>
      </c>
      <c r="K59" s="37" t="s">
        <v>27</v>
      </c>
      <c r="L59" s="37" t="s">
        <v>28</v>
      </c>
      <c r="M59" s="37" t="s">
        <v>29</v>
      </c>
      <c r="N59" s="37" t="s">
        <v>30</v>
      </c>
      <c r="O59" s="37" t="s">
        <v>31</v>
      </c>
      <c r="P59" s="37" t="s">
        <v>32</v>
      </c>
    </row>
    <row r="60" spans="2:16" ht="45" customHeight="1" thickTop="1" thickBot="1" x14ac:dyDescent="0.3">
      <c r="B60" s="38" t="s">
        <v>77</v>
      </c>
      <c r="C60" s="101" t="s">
        <v>78</v>
      </c>
      <c r="D60" s="102"/>
      <c r="E60" s="102"/>
      <c r="F60" s="102"/>
      <c r="G60" s="103"/>
      <c r="H60" s="39" t="s">
        <v>166</v>
      </c>
      <c r="I60" s="40">
        <v>70</v>
      </c>
      <c r="J60" s="40">
        <v>25</v>
      </c>
      <c r="K60" s="40">
        <v>100</v>
      </c>
      <c r="L60" s="41">
        <v>1</v>
      </c>
      <c r="M60" s="40">
        <v>82.62</v>
      </c>
      <c r="N60" s="41">
        <f>ROUND(IF(I60 &gt; K60, (IF(AND(M60 = K60, M60 = (I60 - J60)), 125 %,IF(AND(M60&lt;=(I60+J60),M60&gt;=(I60-J60)),100%,IF(M60&gt;(I60+J60),(I60+J60)/M60,IF((M60&lt;(I60-J60)),100%+ABS(M60-I60)*25%/ABS(K60-I60)))))),IF(AND(M60=K60,M60=(I60+J60)),125%,IF(AND(M60&lt;=(I60+J60),M60&gt;=(I60-J60)),100%,IF(AND(M60=K60,M60=(I60+J60)),125%,IF(M60&lt;(I60-J60),M60/(I60-J60),IF(M60&gt;(I60+J60),100%+(M60-I60)*25%/(K60-I60))))))),4)</f>
        <v>1</v>
      </c>
      <c r="O60" s="40" t="str">
        <f>IF(N60 &gt;1,"Superou",IF(N60 =1,"Atingiu","Não atingiu"))</f>
        <v>Atingiu</v>
      </c>
      <c r="P60" s="41">
        <f>N60-100%</f>
        <v>0</v>
      </c>
    </row>
    <row r="61" spans="2:16" ht="27" customHeight="1" thickTop="1" thickBot="1" x14ac:dyDescent="0.3">
      <c r="B61" s="82" t="s">
        <v>37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42">
        <f>L60*N60</f>
        <v>1</v>
      </c>
    </row>
    <row r="62" spans="2:16" ht="45" customHeight="1" thickTop="1" thickBot="1" x14ac:dyDescent="0.3">
      <c r="B62" s="34" t="s">
        <v>38</v>
      </c>
      <c r="C62" s="95" t="s">
        <v>79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35" t="s">
        <v>21</v>
      </c>
      <c r="P62" s="36">
        <v>0.4</v>
      </c>
    </row>
    <row r="63" spans="2:16" ht="45" customHeight="1" thickTop="1" thickBot="1" x14ac:dyDescent="0.3">
      <c r="B63" s="97" t="s">
        <v>24</v>
      </c>
      <c r="C63" s="98"/>
      <c r="D63" s="98"/>
      <c r="E63" s="99"/>
      <c r="F63" s="97"/>
      <c r="G63" s="99"/>
      <c r="H63" s="37" t="s">
        <v>168</v>
      </c>
      <c r="I63" s="37" t="s">
        <v>25</v>
      </c>
      <c r="J63" s="37" t="s">
        <v>26</v>
      </c>
      <c r="K63" s="37" t="s">
        <v>27</v>
      </c>
      <c r="L63" s="37" t="s">
        <v>28</v>
      </c>
      <c r="M63" s="37" t="s">
        <v>29</v>
      </c>
      <c r="N63" s="37" t="s">
        <v>30</v>
      </c>
      <c r="O63" s="37" t="s">
        <v>31</v>
      </c>
      <c r="P63" s="37" t="s">
        <v>32</v>
      </c>
    </row>
    <row r="64" spans="2:16" ht="45" customHeight="1" thickTop="1" thickBot="1" x14ac:dyDescent="0.3">
      <c r="B64" s="38" t="s">
        <v>80</v>
      </c>
      <c r="C64" s="101" t="s">
        <v>81</v>
      </c>
      <c r="D64" s="102"/>
      <c r="E64" s="102"/>
      <c r="F64" s="102"/>
      <c r="G64" s="103"/>
      <c r="H64" s="40" t="s">
        <v>167</v>
      </c>
      <c r="I64" s="40">
        <v>70</v>
      </c>
      <c r="J64" s="40">
        <v>10</v>
      </c>
      <c r="K64" s="40">
        <v>100</v>
      </c>
      <c r="L64" s="41">
        <v>0.5</v>
      </c>
      <c r="M64" s="40">
        <v>126.86</v>
      </c>
      <c r="N64" s="41">
        <f>ROUND(IF(I64 &gt; K64, (IF(AND(M64 = K64, M64 = (I64 - J64)), 125 %,IF(AND(M64&lt;=(I64+J64),M64&gt;=(I64-J64)),100%,IF(M64&gt;(I64+J64),(I64+J64)/M64,IF((M64&lt;(I64-J64)),100%+ABS(M64-I64)*25%/ABS(K64-I64)))))),IF(AND(M64=K64,M64=(I64+J64)),125%,IF(AND(M64&lt;=(I64+J64),M64&gt;=(I64-J64)),100%,IF(AND(M64=K64,M64=(I64+J64)),125%,IF(M64&lt;(I64-J64),M64/(I64-J64),IF(M64&gt;(I64+J64),100%+(M64-I64)*25%/(K64-I64))))))),4)</f>
        <v>1.4738</v>
      </c>
      <c r="O64" s="40" t="str">
        <f>IF(N64 &gt;1,"Superou",IF(N64 =1,"Atingiu","Não atingiu"))</f>
        <v>Superou</v>
      </c>
      <c r="P64" s="41">
        <f>N64-100%</f>
        <v>0.4738</v>
      </c>
    </row>
    <row r="65" spans="2:16" ht="45" customHeight="1" thickTop="1" thickBot="1" x14ac:dyDescent="0.3">
      <c r="B65" s="38" t="s">
        <v>82</v>
      </c>
      <c r="C65" s="101" t="s">
        <v>83</v>
      </c>
      <c r="D65" s="102"/>
      <c r="E65" s="102"/>
      <c r="F65" s="102"/>
      <c r="G65" s="103"/>
      <c r="H65" s="40" t="s">
        <v>167</v>
      </c>
      <c r="I65" s="40">
        <v>95</v>
      </c>
      <c r="J65" s="40">
        <v>2</v>
      </c>
      <c r="K65" s="40">
        <v>100</v>
      </c>
      <c r="L65" s="41">
        <v>0.5</v>
      </c>
      <c r="M65" s="40">
        <v>100</v>
      </c>
      <c r="N65" s="41">
        <f>ROUND(IF(I65 &gt; K65, (IF(AND(M65 = K65, M65 = (I65 - J65)), 125 %,IF(AND(M65&lt;=(I65+J65),M65&gt;=(I65-J65)),100%,IF(M65&gt;(I65+J65),(I65+J65)/M65,IF((M65&lt;(I65-J65)),100%+ABS(M65-I65)*25%/ABS(K65-I65)))))),IF(AND(M65=K65,M65=(I65+J65)),125%,IF(AND(M65&lt;=(I65+J65),M65&gt;=(I65-J65)),100%,IF(AND(M65=K65,M65=(I65+J65)),125%,IF(M65&lt;(I65-J65),M65/(I65-J65),IF(M65&gt;(I65+J65),100%+(M65-I65)*25%/(K65-I65))))))),4)</f>
        <v>1.25</v>
      </c>
      <c r="O65" s="40" t="str">
        <f>IF(N65 &gt;1,"Superou",IF(N65 =1,"Atingiu","Não atingiu"))</f>
        <v>Superou</v>
      </c>
      <c r="P65" s="41">
        <f>N65-100%</f>
        <v>0.25</v>
      </c>
    </row>
    <row r="66" spans="2:16" ht="27" customHeight="1" thickTop="1" thickBot="1" x14ac:dyDescent="0.3">
      <c r="B66" s="82" t="s">
        <v>37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42">
        <f>L64*N64+L65*N65</f>
        <v>1.3618999999999999</v>
      </c>
    </row>
    <row r="67" spans="2:16" ht="45" customHeight="1" thickTop="1" thickBot="1" x14ac:dyDescent="0.3">
      <c r="B67" s="83" t="s">
        <v>84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</row>
    <row r="68" spans="2:16" ht="25.5" customHeight="1" thickTop="1" thickBot="1" x14ac:dyDescent="0.3">
      <c r="B68" s="84" t="s">
        <v>85</v>
      </c>
      <c r="C68" s="84"/>
      <c r="D68" s="84"/>
      <c r="E68" s="84"/>
      <c r="F68" s="84"/>
      <c r="G68" s="84"/>
      <c r="H68" s="86" t="s">
        <v>86</v>
      </c>
      <c r="I68" s="86"/>
      <c r="J68" s="86"/>
      <c r="K68" s="86" t="s">
        <v>87</v>
      </c>
      <c r="L68" s="86"/>
      <c r="M68" s="86" t="s">
        <v>88</v>
      </c>
      <c r="N68" s="86"/>
      <c r="O68" s="86" t="s">
        <v>89</v>
      </c>
      <c r="P68" s="86"/>
    </row>
    <row r="69" spans="2:16" ht="17.25" customHeight="1" thickTop="1" x14ac:dyDescent="0.25">
      <c r="B69" s="85"/>
      <c r="C69" s="85"/>
      <c r="D69" s="85"/>
      <c r="E69" s="85"/>
      <c r="F69" s="85"/>
      <c r="G69" s="85"/>
      <c r="H69" s="87"/>
      <c r="I69" s="87"/>
      <c r="J69" s="87"/>
      <c r="K69" s="88">
        <f>P14</f>
        <v>0.4</v>
      </c>
      <c r="L69" s="89"/>
      <c r="M69" s="88">
        <f>P40</f>
        <v>0.3</v>
      </c>
      <c r="N69" s="89"/>
      <c r="O69" s="88">
        <f>P53</f>
        <v>0.3</v>
      </c>
      <c r="P69" s="89"/>
    </row>
    <row r="70" spans="2:16" ht="39.75" customHeight="1" thickBot="1" x14ac:dyDescent="0.3">
      <c r="B70" s="85"/>
      <c r="C70" s="85"/>
      <c r="D70" s="85"/>
      <c r="E70" s="85"/>
      <c r="F70" s="85"/>
      <c r="G70" s="85"/>
      <c r="H70" s="90" t="s">
        <v>90</v>
      </c>
      <c r="I70" s="90"/>
      <c r="J70" s="90"/>
      <c r="K70" s="91">
        <f>(P15*P19+P20*P24+P25*P29+P30*P34+P35*P39)*K69+(P41*P44+P45*P48+P49*P52)*M69+(P54*P57+P58*P61+P62*P66)*O69</f>
        <v>1.2860094</v>
      </c>
      <c r="L70" s="92"/>
      <c r="M70" s="92"/>
      <c r="N70" s="92"/>
      <c r="O70" s="92"/>
      <c r="P70" s="92"/>
    </row>
    <row r="71" spans="2:16" ht="39.75" customHeight="1" thickTop="1" thickBot="1" x14ac:dyDescent="0.3">
      <c r="B71" s="85"/>
      <c r="C71" s="85"/>
      <c r="D71" s="85"/>
      <c r="E71" s="85"/>
      <c r="F71" s="85"/>
      <c r="G71" s="85"/>
      <c r="H71" s="93" t="s">
        <v>91</v>
      </c>
      <c r="I71" s="93"/>
      <c r="J71" s="93"/>
      <c r="K71" s="94" t="s">
        <v>169</v>
      </c>
      <c r="L71" s="94"/>
      <c r="M71" s="94"/>
      <c r="N71" s="94"/>
      <c r="O71" s="94"/>
      <c r="P71" s="94"/>
    </row>
    <row r="72" spans="2:16" ht="45" customHeight="1" thickTop="1" thickBot="1" x14ac:dyDescent="0.3">
      <c r="B72" s="67" t="s">
        <v>92</v>
      </c>
      <c r="C72" s="67"/>
      <c r="D72" s="67"/>
      <c r="E72" s="67"/>
      <c r="F72" s="67"/>
      <c r="G72" s="67"/>
      <c r="H72" s="66"/>
      <c r="I72" s="66"/>
      <c r="J72" s="66"/>
      <c r="K72" s="66"/>
      <c r="L72" s="66"/>
      <c r="M72" s="66"/>
      <c r="N72" s="66"/>
      <c r="O72" s="66"/>
      <c r="P72" s="66"/>
    </row>
    <row r="73" spans="2:16" ht="53.25" customHeight="1" thickTop="1" thickBot="1" x14ac:dyDescent="0.3">
      <c r="B73" s="80" t="s">
        <v>93</v>
      </c>
      <c r="C73" s="80"/>
      <c r="D73" s="80"/>
      <c r="E73" s="80"/>
      <c r="F73" s="81" t="s">
        <v>94</v>
      </c>
      <c r="G73" s="81"/>
      <c r="H73" s="81" t="s">
        <v>95</v>
      </c>
      <c r="I73" s="81"/>
      <c r="J73" s="7" t="s">
        <v>96</v>
      </c>
      <c r="K73" s="8" t="s">
        <v>97</v>
      </c>
      <c r="L73" s="8" t="s">
        <v>98</v>
      </c>
      <c r="M73" s="8" t="s">
        <v>31</v>
      </c>
      <c r="N73" s="81" t="s">
        <v>99</v>
      </c>
      <c r="O73" s="81"/>
      <c r="P73" s="81"/>
    </row>
    <row r="74" spans="2:16" ht="30" customHeight="1" thickTop="1" thickBot="1" x14ac:dyDescent="0.3">
      <c r="B74" s="74" t="s">
        <v>100</v>
      </c>
      <c r="C74" s="74"/>
      <c r="D74" s="74"/>
      <c r="E74" s="74"/>
      <c r="F74" s="75">
        <f>F75*(L75+L76+L77+L78+L79)</f>
        <v>0.51372840000000008</v>
      </c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2:16" ht="30" customHeight="1" thickTop="1" thickBot="1" x14ac:dyDescent="0.3">
      <c r="B75" s="72" t="s">
        <v>23</v>
      </c>
      <c r="C75" s="73"/>
      <c r="D75" s="73"/>
      <c r="E75" s="73"/>
      <c r="F75" s="69">
        <v>0.4</v>
      </c>
      <c r="G75" s="70"/>
      <c r="H75" s="69">
        <v>0.2</v>
      </c>
      <c r="I75" s="70"/>
      <c r="J75" s="9">
        <v>0.08</v>
      </c>
      <c r="K75" s="10">
        <f>P19</f>
        <v>1.4822199999999999</v>
      </c>
      <c r="L75" s="10">
        <f>H75*K75</f>
        <v>0.29644399999999999</v>
      </c>
      <c r="M75" s="11" t="str">
        <f>IF(K75 &gt;1,"Superou",IF(K75 =1,"Atingiu","Não atingiu"))</f>
        <v>Superou</v>
      </c>
      <c r="N75" s="71"/>
      <c r="O75" s="71"/>
      <c r="P75" s="71"/>
    </row>
    <row r="76" spans="2:16" ht="30" customHeight="1" thickTop="1" thickBot="1" x14ac:dyDescent="0.3">
      <c r="B76" s="72" t="s">
        <v>39</v>
      </c>
      <c r="C76" s="73"/>
      <c r="D76" s="73"/>
      <c r="E76" s="73"/>
      <c r="F76" s="70"/>
      <c r="G76" s="70"/>
      <c r="H76" s="69">
        <v>0.15</v>
      </c>
      <c r="I76" s="70"/>
      <c r="J76" s="9">
        <v>0.06</v>
      </c>
      <c r="K76" s="10">
        <f>P24</f>
        <v>1.1499999999999999</v>
      </c>
      <c r="L76" s="10">
        <f>H76*K76</f>
        <v>0.17249999999999999</v>
      </c>
      <c r="M76" s="11" t="str">
        <f>IF(K76 &gt;1,"Superou",IF(K76 =1,"Atingiu","Não atingiu"))</f>
        <v>Superou</v>
      </c>
      <c r="N76" s="71"/>
      <c r="O76" s="71"/>
      <c r="P76" s="71"/>
    </row>
    <row r="77" spans="2:16" ht="30" customHeight="1" thickTop="1" thickBot="1" x14ac:dyDescent="0.3">
      <c r="B77" s="72" t="s">
        <v>45</v>
      </c>
      <c r="C77" s="73"/>
      <c r="D77" s="73"/>
      <c r="E77" s="73"/>
      <c r="F77" s="70"/>
      <c r="G77" s="70"/>
      <c r="H77" s="69">
        <v>0.25</v>
      </c>
      <c r="I77" s="70"/>
      <c r="J77" s="9">
        <v>0.1</v>
      </c>
      <c r="K77" s="10">
        <f>P29</f>
        <v>1.2172999999999998</v>
      </c>
      <c r="L77" s="10">
        <f>H77*K77</f>
        <v>0.30432499999999996</v>
      </c>
      <c r="M77" s="11" t="str">
        <f>IF(K77 &gt;1,"Superou",IF(K77 =1,"Atingiu","Não atingiu"))</f>
        <v>Superou</v>
      </c>
      <c r="N77" s="71" t="s">
        <v>101</v>
      </c>
      <c r="O77" s="71"/>
      <c r="P77" s="71"/>
    </row>
    <row r="78" spans="2:16" ht="30" customHeight="1" thickTop="1" thickBot="1" x14ac:dyDescent="0.3">
      <c r="B78" s="72" t="s">
        <v>50</v>
      </c>
      <c r="C78" s="73"/>
      <c r="D78" s="73"/>
      <c r="E78" s="73"/>
      <c r="F78" s="70"/>
      <c r="G78" s="70"/>
      <c r="H78" s="69">
        <v>0.1</v>
      </c>
      <c r="I78" s="70"/>
      <c r="J78" s="9">
        <v>0.04</v>
      </c>
      <c r="K78" s="10">
        <f>P34</f>
        <v>1.25</v>
      </c>
      <c r="L78" s="10">
        <f>H78*K78</f>
        <v>0.125</v>
      </c>
      <c r="M78" s="11" t="str">
        <f>IF(K78 &gt;1,"Superou",IF(K78 =1,"Atingiu","Não atingiu"))</f>
        <v>Superou</v>
      </c>
      <c r="N78" s="71"/>
      <c r="O78" s="71"/>
      <c r="P78" s="71"/>
    </row>
    <row r="79" spans="2:16" ht="30" customHeight="1" thickTop="1" thickBot="1" x14ac:dyDescent="0.3">
      <c r="B79" s="72" t="s">
        <v>55</v>
      </c>
      <c r="C79" s="73"/>
      <c r="D79" s="73"/>
      <c r="E79" s="73"/>
      <c r="F79" s="70"/>
      <c r="G79" s="70"/>
      <c r="H79" s="69">
        <v>0.3</v>
      </c>
      <c r="I79" s="70"/>
      <c r="J79" s="9">
        <v>0.12</v>
      </c>
      <c r="K79" s="10">
        <f>P39</f>
        <v>1.28684</v>
      </c>
      <c r="L79" s="10">
        <f>H79*K79</f>
        <v>0.38605200000000001</v>
      </c>
      <c r="M79" s="11" t="str">
        <f>IF(K79 &gt;1,"Superou",IF(K79 =1,"Atingiu","Não atingiu"))</f>
        <v>Superou</v>
      </c>
      <c r="N79" s="71" t="s">
        <v>101</v>
      </c>
      <c r="O79" s="71"/>
      <c r="P79" s="71"/>
    </row>
    <row r="80" spans="2:16" ht="30" customHeight="1" thickTop="1" thickBot="1" x14ac:dyDescent="0.3">
      <c r="B80" s="74" t="s">
        <v>102</v>
      </c>
      <c r="C80" s="74"/>
      <c r="D80" s="74"/>
      <c r="E80" s="74"/>
      <c r="F80" s="75">
        <f>F81*(L81+L82+L83)</f>
        <v>0.37284899999999993</v>
      </c>
      <c r="G80" s="76"/>
      <c r="H80" s="76"/>
      <c r="I80" s="76"/>
      <c r="J80" s="76"/>
      <c r="K80" s="76"/>
      <c r="L80" s="76"/>
      <c r="M80" s="76"/>
      <c r="N80" s="76"/>
      <c r="O80" s="76"/>
      <c r="P80" s="76"/>
    </row>
    <row r="81" spans="2:16" ht="30" customHeight="1" thickTop="1" thickBot="1" x14ac:dyDescent="0.3">
      <c r="B81" s="72" t="s">
        <v>62</v>
      </c>
      <c r="C81" s="73"/>
      <c r="D81" s="73"/>
      <c r="E81" s="73"/>
      <c r="F81" s="69">
        <v>0.3</v>
      </c>
      <c r="G81" s="70"/>
      <c r="H81" s="69">
        <v>0.35</v>
      </c>
      <c r="I81" s="70"/>
      <c r="J81" s="9">
        <v>0.105</v>
      </c>
      <c r="K81" s="10">
        <f>P44</f>
        <v>1.25</v>
      </c>
      <c r="L81" s="10">
        <f>H81*K81</f>
        <v>0.4375</v>
      </c>
      <c r="M81" s="11" t="str">
        <f>IF(K81 &gt;1,"Superou",IF(K81 =1,"Atingiu","Não atingiu"))</f>
        <v>Superou</v>
      </c>
      <c r="N81" s="71" t="s">
        <v>101</v>
      </c>
      <c r="O81" s="71"/>
      <c r="P81" s="71"/>
    </row>
    <row r="82" spans="2:16" ht="30" customHeight="1" thickTop="1" thickBot="1" x14ac:dyDescent="0.3">
      <c r="B82" s="72" t="s">
        <v>65</v>
      </c>
      <c r="C82" s="73"/>
      <c r="D82" s="73"/>
      <c r="E82" s="73"/>
      <c r="F82" s="70"/>
      <c r="G82" s="70"/>
      <c r="H82" s="69">
        <v>0.35</v>
      </c>
      <c r="I82" s="70"/>
      <c r="J82" s="9">
        <v>0.105</v>
      </c>
      <c r="K82" s="10">
        <f>P48</f>
        <v>1.4438</v>
      </c>
      <c r="L82" s="10">
        <f>H82*K82</f>
        <v>0.50532999999999995</v>
      </c>
      <c r="M82" s="11" t="str">
        <f>IF(K82 &gt;1,"Superou",IF(K82 =1,"Atingiu","Não atingiu"))</f>
        <v>Superou</v>
      </c>
      <c r="N82" s="71" t="s">
        <v>101</v>
      </c>
      <c r="O82" s="71"/>
      <c r="P82" s="71"/>
    </row>
    <row r="83" spans="2:16" ht="30" customHeight="1" thickTop="1" thickBot="1" x14ac:dyDescent="0.3">
      <c r="B83" s="72" t="s">
        <v>68</v>
      </c>
      <c r="C83" s="73"/>
      <c r="D83" s="73"/>
      <c r="E83" s="73"/>
      <c r="F83" s="70"/>
      <c r="G83" s="70"/>
      <c r="H83" s="69">
        <v>0.3</v>
      </c>
      <c r="I83" s="70"/>
      <c r="J83" s="9">
        <v>0.09</v>
      </c>
      <c r="K83" s="10">
        <f>P52</f>
        <v>1</v>
      </c>
      <c r="L83" s="10">
        <f>H83*K83</f>
        <v>0.3</v>
      </c>
      <c r="M83" s="11" t="str">
        <f>IF(K83 &gt;1,"Superou",IF(K83 =1,"Atingiu","Não atingiu"))</f>
        <v>Atingiu</v>
      </c>
      <c r="N83" s="71"/>
      <c r="O83" s="71"/>
      <c r="P83" s="71"/>
    </row>
    <row r="84" spans="2:16" ht="30" customHeight="1" thickTop="1" thickBot="1" x14ac:dyDescent="0.3">
      <c r="B84" s="74" t="s">
        <v>103</v>
      </c>
      <c r="C84" s="74"/>
      <c r="D84" s="74"/>
      <c r="E84" s="74"/>
      <c r="F84" s="75">
        <f>F85*(L85+L86+L87)</f>
        <v>0.39943200000000006</v>
      </c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2:16" ht="30" customHeight="1" thickTop="1" thickBot="1" x14ac:dyDescent="0.3">
      <c r="B85" s="72" t="s">
        <v>72</v>
      </c>
      <c r="C85" s="73"/>
      <c r="D85" s="73"/>
      <c r="E85" s="73"/>
      <c r="F85" s="69">
        <v>0.3</v>
      </c>
      <c r="G85" s="70"/>
      <c r="H85" s="69">
        <v>0.4</v>
      </c>
      <c r="I85" s="70"/>
      <c r="J85" s="9">
        <v>0.12</v>
      </c>
      <c r="K85" s="10">
        <f>P57</f>
        <v>1.4666999999999999</v>
      </c>
      <c r="L85" s="10">
        <f>H85*K85</f>
        <v>0.58667999999999998</v>
      </c>
      <c r="M85" s="11" t="str">
        <f>IF(K85 &gt;1,"Superou",IF(K85 =1,"Atingiu","Não atingiu"))</f>
        <v>Superou</v>
      </c>
      <c r="N85" s="71" t="s">
        <v>101</v>
      </c>
      <c r="O85" s="71"/>
      <c r="P85" s="71"/>
    </row>
    <row r="86" spans="2:16" ht="30" customHeight="1" thickTop="1" thickBot="1" x14ac:dyDescent="0.3">
      <c r="B86" s="72" t="s">
        <v>76</v>
      </c>
      <c r="C86" s="73"/>
      <c r="D86" s="73"/>
      <c r="E86" s="73"/>
      <c r="F86" s="70"/>
      <c r="G86" s="70"/>
      <c r="H86" s="69">
        <v>0.2</v>
      </c>
      <c r="I86" s="70"/>
      <c r="J86" s="9">
        <v>0.06</v>
      </c>
      <c r="K86" s="10">
        <f>P61</f>
        <v>1</v>
      </c>
      <c r="L86" s="10">
        <f>H86*K86</f>
        <v>0.2</v>
      </c>
      <c r="M86" s="11" t="str">
        <f>IF(K86 &gt;1,"Superou",IF(K86 =1,"Atingiu","Não atingiu"))</f>
        <v>Atingiu</v>
      </c>
      <c r="N86" s="71"/>
      <c r="O86" s="71"/>
      <c r="P86" s="71"/>
    </row>
    <row r="87" spans="2:16" ht="30" customHeight="1" thickTop="1" thickBot="1" x14ac:dyDescent="0.3">
      <c r="B87" s="72" t="s">
        <v>79</v>
      </c>
      <c r="C87" s="73"/>
      <c r="D87" s="73"/>
      <c r="E87" s="73"/>
      <c r="F87" s="70"/>
      <c r="G87" s="70"/>
      <c r="H87" s="69">
        <v>0.4</v>
      </c>
      <c r="I87" s="70"/>
      <c r="J87" s="9">
        <v>0.12</v>
      </c>
      <c r="K87" s="10">
        <f>P66</f>
        <v>1.3618999999999999</v>
      </c>
      <c r="L87" s="10">
        <f>H87*K87</f>
        <v>0.54476000000000002</v>
      </c>
      <c r="M87" s="11" t="str">
        <f>IF(K87 &gt;1,"Superou",IF(K87 =1,"Atingiu","Não atingiu"))</f>
        <v>Superou</v>
      </c>
      <c r="N87" s="71" t="s">
        <v>101</v>
      </c>
      <c r="O87" s="71"/>
      <c r="P87" s="71"/>
    </row>
    <row r="88" spans="2:16" ht="34.5" customHeight="1" thickTop="1" thickBot="1" x14ac:dyDescent="0.3">
      <c r="B88" s="77" t="s">
        <v>104</v>
      </c>
      <c r="C88" s="77"/>
      <c r="D88" s="77"/>
      <c r="E88" s="77"/>
      <c r="F88" s="78">
        <f>F75+F81+F85</f>
        <v>1</v>
      </c>
      <c r="G88" s="79"/>
      <c r="H88" s="77" t="s">
        <v>105</v>
      </c>
      <c r="I88" s="77"/>
      <c r="J88" s="77"/>
      <c r="K88" s="77"/>
      <c r="L88" s="77"/>
      <c r="M88" s="77"/>
      <c r="N88" s="78">
        <f>SUMIF(N75:N87, "RELEVANTE", J75:J87 )</f>
        <v>0.67</v>
      </c>
      <c r="O88" s="79"/>
      <c r="P88" s="79"/>
    </row>
    <row r="89" spans="2:16" ht="6.75" customHeight="1" thickTop="1" thickBot="1" x14ac:dyDescent="0.3"/>
    <row r="90" spans="2:16" ht="34.5" customHeight="1" thickTop="1" thickBot="1" x14ac:dyDescent="0.3">
      <c r="B90" s="62" t="s">
        <v>106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12" t="s">
        <v>107</v>
      </c>
      <c r="P90" s="13">
        <v>228</v>
      </c>
    </row>
    <row r="91" spans="2:16" ht="38.25" customHeight="1" thickTop="1" thickBot="1" x14ac:dyDescent="0.3">
      <c r="B91" s="67" t="s">
        <v>108</v>
      </c>
      <c r="C91" s="67"/>
      <c r="D91" s="67" t="s">
        <v>109</v>
      </c>
      <c r="E91" s="67"/>
      <c r="F91" s="67"/>
      <c r="G91" s="66" t="s">
        <v>110</v>
      </c>
      <c r="H91" s="66"/>
      <c r="I91" s="66"/>
      <c r="J91" s="66" t="s">
        <v>111</v>
      </c>
      <c r="K91" s="66"/>
      <c r="L91" s="66"/>
      <c r="M91" s="67" t="s">
        <v>112</v>
      </c>
      <c r="N91" s="67"/>
      <c r="O91" s="67" t="s">
        <v>113</v>
      </c>
      <c r="P91" s="66" t="s">
        <v>114</v>
      </c>
    </row>
    <row r="92" spans="2:16" ht="63" customHeight="1" thickTop="1" thickBot="1" x14ac:dyDescent="0.3">
      <c r="B92" s="67"/>
      <c r="C92" s="67"/>
      <c r="D92" s="67"/>
      <c r="E92" s="67"/>
      <c r="F92" s="67"/>
      <c r="G92" s="4" t="s">
        <v>115</v>
      </c>
      <c r="H92" s="3" t="s">
        <v>116</v>
      </c>
      <c r="I92" s="4" t="s">
        <v>117</v>
      </c>
      <c r="J92" s="4" t="s">
        <v>118</v>
      </c>
      <c r="K92" s="3" t="s">
        <v>119</v>
      </c>
      <c r="L92" s="4" t="s">
        <v>120</v>
      </c>
      <c r="M92" s="67"/>
      <c r="N92" s="67"/>
      <c r="O92" s="67"/>
      <c r="P92" s="66"/>
    </row>
    <row r="93" spans="2:16" ht="24.75" customHeight="1" thickTop="1" thickBot="1" x14ac:dyDescent="0.3">
      <c r="B93" s="57" t="s">
        <v>121</v>
      </c>
      <c r="C93" s="58"/>
      <c r="D93" s="68">
        <v>20</v>
      </c>
      <c r="E93" s="68"/>
      <c r="F93" s="68"/>
      <c r="G93" s="14">
        <v>14</v>
      </c>
      <c r="H93" s="14">
        <f>G93*P90</f>
        <v>3192</v>
      </c>
      <c r="I93" s="14">
        <f t="shared" ref="I93:I100" si="0">G93*D93</f>
        <v>280</v>
      </c>
      <c r="J93" s="14">
        <v>7</v>
      </c>
      <c r="K93" s="14">
        <f>J93*P90</f>
        <v>1596</v>
      </c>
      <c r="L93" s="15">
        <f t="shared" ref="L93:L100" si="1">(K93*I93)/H93</f>
        <v>140</v>
      </c>
      <c r="M93" s="68">
        <f t="shared" ref="M93:M100" si="2">J93-G93</f>
        <v>-7</v>
      </c>
      <c r="N93" s="68"/>
      <c r="O93" s="16">
        <f t="shared" ref="O93:O101" si="3">L93/I93</f>
        <v>0.5</v>
      </c>
      <c r="P93" s="16">
        <f t="shared" ref="P93:P101" si="4">K93/H93</f>
        <v>0.5</v>
      </c>
    </row>
    <row r="94" spans="2:16" ht="24.75" customHeight="1" thickTop="1" thickBot="1" x14ac:dyDescent="0.3">
      <c r="B94" s="57" t="s">
        <v>122</v>
      </c>
      <c r="C94" s="58"/>
      <c r="D94" s="68">
        <v>16</v>
      </c>
      <c r="E94" s="68"/>
      <c r="F94" s="68"/>
      <c r="G94" s="14">
        <v>59</v>
      </c>
      <c r="H94" s="14">
        <f>G94*P90</f>
        <v>13452</v>
      </c>
      <c r="I94" s="14">
        <f t="shared" si="0"/>
        <v>944</v>
      </c>
      <c r="J94" s="14">
        <v>40</v>
      </c>
      <c r="K94" s="14">
        <f>J94*P90</f>
        <v>9120</v>
      </c>
      <c r="L94" s="15">
        <f t="shared" si="1"/>
        <v>640</v>
      </c>
      <c r="M94" s="68">
        <f t="shared" si="2"/>
        <v>-19</v>
      </c>
      <c r="N94" s="68"/>
      <c r="O94" s="16">
        <f t="shared" si="3"/>
        <v>0.67796610169491522</v>
      </c>
      <c r="P94" s="16">
        <f t="shared" si="4"/>
        <v>0.67796610169491522</v>
      </c>
    </row>
    <row r="95" spans="2:16" ht="24.75" customHeight="1" thickTop="1" thickBot="1" x14ac:dyDescent="0.3">
      <c r="B95" s="57" t="s">
        <v>123</v>
      </c>
      <c r="C95" s="58"/>
      <c r="D95" s="68">
        <v>12</v>
      </c>
      <c r="E95" s="68"/>
      <c r="F95" s="68"/>
      <c r="G95" s="14">
        <v>441</v>
      </c>
      <c r="H95" s="14">
        <f>G95*P90</f>
        <v>100548</v>
      </c>
      <c r="I95" s="14">
        <f t="shared" si="0"/>
        <v>5292</v>
      </c>
      <c r="J95" s="14">
        <v>414</v>
      </c>
      <c r="K95" s="14">
        <f>J95*P90</f>
        <v>94392</v>
      </c>
      <c r="L95" s="15">
        <f t="shared" si="1"/>
        <v>4968</v>
      </c>
      <c r="M95" s="68">
        <f t="shared" si="2"/>
        <v>-27</v>
      </c>
      <c r="N95" s="68"/>
      <c r="O95" s="16">
        <f t="shared" si="3"/>
        <v>0.93877551020408168</v>
      </c>
      <c r="P95" s="16">
        <f t="shared" si="4"/>
        <v>0.93877551020408168</v>
      </c>
    </row>
    <row r="96" spans="2:16" ht="24.75" customHeight="1" thickTop="1" thickBot="1" x14ac:dyDescent="0.3">
      <c r="B96" s="57" t="s">
        <v>124</v>
      </c>
      <c r="C96" s="58"/>
      <c r="D96" s="68">
        <v>9</v>
      </c>
      <c r="E96" s="68"/>
      <c r="F96" s="68"/>
      <c r="G96" s="14">
        <v>4</v>
      </c>
      <c r="H96" s="14">
        <f>G96*P90</f>
        <v>912</v>
      </c>
      <c r="I96" s="14">
        <f t="shared" si="0"/>
        <v>36</v>
      </c>
      <c r="J96" s="14">
        <v>3</v>
      </c>
      <c r="K96" s="14">
        <f>J96*P90</f>
        <v>684</v>
      </c>
      <c r="L96" s="15">
        <f t="shared" si="1"/>
        <v>27</v>
      </c>
      <c r="M96" s="68">
        <f t="shared" si="2"/>
        <v>-1</v>
      </c>
      <c r="N96" s="68"/>
      <c r="O96" s="16">
        <f t="shared" si="3"/>
        <v>0.75</v>
      </c>
      <c r="P96" s="16">
        <f t="shared" si="4"/>
        <v>0.75</v>
      </c>
    </row>
    <row r="97" spans="2:16" ht="24.75" customHeight="1" thickTop="1" thickBot="1" x14ac:dyDescent="0.3">
      <c r="B97" s="57" t="s">
        <v>125</v>
      </c>
      <c r="C97" s="58"/>
      <c r="D97" s="68">
        <v>12</v>
      </c>
      <c r="E97" s="68"/>
      <c r="F97" s="68"/>
      <c r="G97" s="14">
        <v>12</v>
      </c>
      <c r="H97" s="14">
        <f>G97*P90</f>
        <v>2736</v>
      </c>
      <c r="I97" s="14">
        <f t="shared" si="0"/>
        <v>144</v>
      </c>
      <c r="J97" s="14">
        <v>13</v>
      </c>
      <c r="K97" s="14">
        <f>J97*P90</f>
        <v>2964</v>
      </c>
      <c r="L97" s="15">
        <f t="shared" si="1"/>
        <v>156</v>
      </c>
      <c r="M97" s="68">
        <f t="shared" si="2"/>
        <v>1</v>
      </c>
      <c r="N97" s="68"/>
      <c r="O97" s="16">
        <f t="shared" si="3"/>
        <v>1.0833333333333333</v>
      </c>
      <c r="P97" s="16">
        <f t="shared" si="4"/>
        <v>1.0833333333333333</v>
      </c>
    </row>
    <row r="98" spans="2:16" ht="24.75" customHeight="1" thickTop="1" thickBot="1" x14ac:dyDescent="0.3">
      <c r="B98" s="57" t="s">
        <v>126</v>
      </c>
      <c r="C98" s="58"/>
      <c r="D98" s="68">
        <v>8</v>
      </c>
      <c r="E98" s="68"/>
      <c r="F98" s="68"/>
      <c r="G98" s="14">
        <v>6</v>
      </c>
      <c r="H98" s="14">
        <f>G98*P90</f>
        <v>1368</v>
      </c>
      <c r="I98" s="14">
        <f t="shared" si="0"/>
        <v>48</v>
      </c>
      <c r="J98" s="14">
        <v>5</v>
      </c>
      <c r="K98" s="14">
        <f>J98*P90</f>
        <v>1140</v>
      </c>
      <c r="L98" s="15">
        <f t="shared" si="1"/>
        <v>40</v>
      </c>
      <c r="M98" s="68">
        <f t="shared" si="2"/>
        <v>-1</v>
      </c>
      <c r="N98" s="68"/>
      <c r="O98" s="16">
        <f t="shared" si="3"/>
        <v>0.83333333333333337</v>
      </c>
      <c r="P98" s="16">
        <f t="shared" si="4"/>
        <v>0.83333333333333337</v>
      </c>
    </row>
    <row r="99" spans="2:16" ht="24.75" customHeight="1" thickTop="1" thickBot="1" x14ac:dyDescent="0.3">
      <c r="B99" s="57" t="s">
        <v>127</v>
      </c>
      <c r="C99" s="58"/>
      <c r="D99" s="68">
        <v>8</v>
      </c>
      <c r="E99" s="68"/>
      <c r="F99" s="68"/>
      <c r="G99" s="14">
        <v>151</v>
      </c>
      <c r="H99" s="14">
        <f>G99*P90</f>
        <v>34428</v>
      </c>
      <c r="I99" s="14">
        <f t="shared" si="0"/>
        <v>1208</v>
      </c>
      <c r="J99" s="14">
        <v>138</v>
      </c>
      <c r="K99" s="14">
        <f>J99*P90</f>
        <v>31464</v>
      </c>
      <c r="L99" s="15">
        <f t="shared" si="1"/>
        <v>1104</v>
      </c>
      <c r="M99" s="68">
        <f t="shared" si="2"/>
        <v>-13</v>
      </c>
      <c r="N99" s="68"/>
      <c r="O99" s="16">
        <f t="shared" si="3"/>
        <v>0.91390728476821192</v>
      </c>
      <c r="P99" s="16">
        <f t="shared" si="4"/>
        <v>0.91390728476821192</v>
      </c>
    </row>
    <row r="100" spans="2:16" ht="24.75" customHeight="1" thickTop="1" thickBot="1" x14ac:dyDescent="0.3">
      <c r="B100" s="57" t="s">
        <v>128</v>
      </c>
      <c r="C100" s="58"/>
      <c r="D100" s="68">
        <v>5</v>
      </c>
      <c r="E100" s="68"/>
      <c r="F100" s="68"/>
      <c r="G100" s="14">
        <v>58</v>
      </c>
      <c r="H100" s="14">
        <f>G100*P90</f>
        <v>13224</v>
      </c>
      <c r="I100" s="14">
        <f t="shared" si="0"/>
        <v>290</v>
      </c>
      <c r="J100" s="14">
        <v>53</v>
      </c>
      <c r="K100" s="14">
        <f>J100*P90</f>
        <v>12084</v>
      </c>
      <c r="L100" s="15">
        <f t="shared" si="1"/>
        <v>265</v>
      </c>
      <c r="M100" s="68">
        <f t="shared" si="2"/>
        <v>-5</v>
      </c>
      <c r="N100" s="68"/>
      <c r="O100" s="16">
        <f t="shared" si="3"/>
        <v>0.91379310344827591</v>
      </c>
      <c r="P100" s="16">
        <f t="shared" si="4"/>
        <v>0.91379310344827591</v>
      </c>
    </row>
    <row r="101" spans="2:16" ht="19.5" customHeight="1" thickTop="1" thickBot="1" x14ac:dyDescent="0.3">
      <c r="B101" s="61"/>
      <c r="C101" s="61"/>
      <c r="D101" s="61"/>
      <c r="E101" s="61"/>
      <c r="F101" s="61"/>
      <c r="G101" s="17">
        <f t="shared" ref="G101:M101" si="5">SUM(G93:G100)</f>
        <v>745</v>
      </c>
      <c r="H101" s="17">
        <f t="shared" si="5"/>
        <v>169860</v>
      </c>
      <c r="I101" s="17">
        <f t="shared" si="5"/>
        <v>8242</v>
      </c>
      <c r="J101" s="17">
        <f t="shared" si="5"/>
        <v>673</v>
      </c>
      <c r="K101" s="17">
        <f t="shared" si="5"/>
        <v>153444</v>
      </c>
      <c r="L101" s="18">
        <f t="shared" si="5"/>
        <v>7340</v>
      </c>
      <c r="M101" s="61">
        <f t="shared" si="5"/>
        <v>-72</v>
      </c>
      <c r="N101" s="61"/>
      <c r="O101" s="19">
        <f t="shared" si="3"/>
        <v>0.89056054355738901</v>
      </c>
      <c r="P101" s="19">
        <f t="shared" si="4"/>
        <v>0.90335570469798654</v>
      </c>
    </row>
    <row r="102" spans="2:16" ht="31.5" customHeight="1" thickTop="1" thickBot="1" x14ac:dyDescent="0.3">
      <c r="B102" s="62" t="s">
        <v>129</v>
      </c>
      <c r="C102" s="63"/>
      <c r="D102" s="63"/>
      <c r="E102" s="63"/>
      <c r="F102" s="63"/>
      <c r="G102" s="20" t="s">
        <v>130</v>
      </c>
      <c r="H102" s="20" t="s">
        <v>131</v>
      </c>
      <c r="I102" s="20" t="s">
        <v>132</v>
      </c>
      <c r="J102" s="20" t="s">
        <v>133</v>
      </c>
      <c r="K102" s="20" t="s">
        <v>134</v>
      </c>
      <c r="L102" s="20" t="s">
        <v>135</v>
      </c>
      <c r="M102" s="20" t="s">
        <v>136</v>
      </c>
      <c r="N102" s="20" t="s">
        <v>137</v>
      </c>
      <c r="O102" s="20" t="s">
        <v>138</v>
      </c>
      <c r="P102" s="20" t="s">
        <v>139</v>
      </c>
    </row>
    <row r="103" spans="2:16" ht="31.5" customHeight="1" thickTop="1" thickBot="1" x14ac:dyDescent="0.3">
      <c r="B103" s="64"/>
      <c r="C103" s="64"/>
      <c r="D103" s="64"/>
      <c r="E103" s="64"/>
      <c r="F103" s="64"/>
      <c r="G103" s="21"/>
      <c r="H103" s="21"/>
      <c r="I103" s="21"/>
      <c r="J103" s="21"/>
      <c r="K103" s="21"/>
      <c r="L103" s="21"/>
      <c r="M103" s="21"/>
      <c r="N103" s="21"/>
      <c r="O103" s="21"/>
      <c r="P103" s="21">
        <v>673</v>
      </c>
    </row>
    <row r="104" spans="2:16" ht="34.5" customHeight="1" thickTop="1" thickBot="1" x14ac:dyDescent="0.3">
      <c r="B104" s="62" t="s">
        <v>140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2:16" ht="29.25" customHeight="1" thickTop="1" thickBot="1" x14ac:dyDescent="0.3">
      <c r="B105" s="66" t="s">
        <v>108</v>
      </c>
      <c r="C105" s="66"/>
      <c r="D105" s="66"/>
      <c r="E105" s="66"/>
      <c r="F105" s="66"/>
      <c r="G105" s="66"/>
      <c r="H105" s="66" t="s">
        <v>141</v>
      </c>
      <c r="I105" s="66"/>
      <c r="J105" s="66" t="s">
        <v>142</v>
      </c>
      <c r="K105" s="66"/>
      <c r="L105" s="66" t="s">
        <v>143</v>
      </c>
      <c r="M105" s="66"/>
      <c r="N105" s="66"/>
      <c r="O105" s="66" t="s">
        <v>144</v>
      </c>
      <c r="P105" s="66" t="s">
        <v>145</v>
      </c>
    </row>
    <row r="106" spans="2:16" ht="55.5" customHeight="1" thickTop="1" thickBot="1" x14ac:dyDescent="0.3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4" t="s">
        <v>146</v>
      </c>
      <c r="M106" s="4" t="s">
        <v>147</v>
      </c>
      <c r="N106" s="4" t="s">
        <v>148</v>
      </c>
      <c r="O106" s="66"/>
      <c r="P106" s="67" t="s">
        <v>145</v>
      </c>
    </row>
    <row r="107" spans="2:16" ht="24.75" customHeight="1" thickTop="1" thickBot="1" x14ac:dyDescent="0.3">
      <c r="B107" s="51" t="s">
        <v>149</v>
      </c>
      <c r="C107" s="52"/>
      <c r="D107" s="52"/>
      <c r="E107" s="52"/>
      <c r="F107" s="53"/>
      <c r="G107" s="54"/>
      <c r="H107" s="54">
        <f>SUM(H108:H111)</f>
        <v>32215592</v>
      </c>
      <c r="I107" s="54"/>
      <c r="J107" s="54">
        <f>SUM(J108:J111)</f>
        <v>32778509</v>
      </c>
      <c r="K107" s="54"/>
      <c r="L107" s="22">
        <f>SUM(L108:L111)</f>
        <v>9438512.1099999994</v>
      </c>
      <c r="M107" s="22">
        <f>SUM(M108:M111)</f>
        <v>14614048.279999999</v>
      </c>
      <c r="N107" s="22">
        <f>SUM(N108:N111)</f>
        <v>22170981.650000002</v>
      </c>
      <c r="O107" s="22">
        <f>SUM(O108:O111)</f>
        <v>10607527.350000001</v>
      </c>
      <c r="P107" s="23">
        <f t="shared" ref="P107:P118" si="6">N107/J107</f>
        <v>0.67638774082128028</v>
      </c>
    </row>
    <row r="108" spans="2:16" ht="24.75" customHeight="1" thickTop="1" thickBot="1" x14ac:dyDescent="0.3">
      <c r="B108" s="57" t="s">
        <v>150</v>
      </c>
      <c r="C108" s="58"/>
      <c r="D108" s="58"/>
      <c r="E108" s="58"/>
      <c r="F108" s="59"/>
      <c r="G108" s="60"/>
      <c r="H108" s="60">
        <v>20030799</v>
      </c>
      <c r="I108" s="60"/>
      <c r="J108" s="60">
        <v>20294201</v>
      </c>
      <c r="K108" s="60"/>
      <c r="L108" s="24">
        <v>8804927.5399999991</v>
      </c>
      <c r="M108" s="24">
        <v>13365493.32</v>
      </c>
      <c r="N108" s="24">
        <v>19316956.84</v>
      </c>
      <c r="O108" s="24">
        <f>J108-N108</f>
        <v>977244.16000000015</v>
      </c>
      <c r="P108" s="25">
        <f t="shared" si="6"/>
        <v>0.95184613772180537</v>
      </c>
    </row>
    <row r="109" spans="2:16" ht="24.75" customHeight="1" thickTop="1" thickBot="1" x14ac:dyDescent="0.3">
      <c r="B109" s="57" t="s">
        <v>151</v>
      </c>
      <c r="C109" s="58"/>
      <c r="D109" s="58"/>
      <c r="E109" s="58"/>
      <c r="F109" s="59"/>
      <c r="G109" s="60"/>
      <c r="H109" s="60">
        <v>5408835</v>
      </c>
      <c r="I109" s="60"/>
      <c r="J109" s="60">
        <v>5646760</v>
      </c>
      <c r="K109" s="60"/>
      <c r="L109" s="24">
        <v>550982.48</v>
      </c>
      <c r="M109" s="24">
        <v>1027017.52</v>
      </c>
      <c r="N109" s="24">
        <v>2116625.59</v>
      </c>
      <c r="O109" s="24">
        <f>J109-N109</f>
        <v>3530134.41</v>
      </c>
      <c r="P109" s="25">
        <f t="shared" si="6"/>
        <v>0.37483895012361068</v>
      </c>
    </row>
    <row r="110" spans="2:16" ht="24.75" customHeight="1" thickTop="1" thickBot="1" x14ac:dyDescent="0.3">
      <c r="B110" s="57" t="s">
        <v>152</v>
      </c>
      <c r="C110" s="58"/>
      <c r="D110" s="58"/>
      <c r="E110" s="58"/>
      <c r="F110" s="59"/>
      <c r="G110" s="60"/>
      <c r="H110" s="60">
        <v>300427</v>
      </c>
      <c r="I110" s="60"/>
      <c r="J110" s="60">
        <v>510277</v>
      </c>
      <c r="K110" s="60"/>
      <c r="L110" s="24">
        <v>15734.37</v>
      </c>
      <c r="M110" s="24">
        <v>115498.28</v>
      </c>
      <c r="N110" s="24">
        <v>292343.76</v>
      </c>
      <c r="O110" s="24">
        <f>J110-N110</f>
        <v>217933.24</v>
      </c>
      <c r="P110" s="25">
        <f t="shared" si="6"/>
        <v>0.57291188903281942</v>
      </c>
    </row>
    <row r="111" spans="2:16" ht="24.75" customHeight="1" thickTop="1" thickBot="1" x14ac:dyDescent="0.3">
      <c r="B111" s="57" t="s">
        <v>153</v>
      </c>
      <c r="C111" s="58"/>
      <c r="D111" s="58"/>
      <c r="E111" s="58"/>
      <c r="F111" s="59"/>
      <c r="G111" s="60"/>
      <c r="H111" s="60">
        <v>6475531</v>
      </c>
      <c r="I111" s="60"/>
      <c r="J111" s="60">
        <v>6327271</v>
      </c>
      <c r="K111" s="60"/>
      <c r="L111" s="24">
        <v>66867.72</v>
      </c>
      <c r="M111" s="24">
        <v>106039.16</v>
      </c>
      <c r="N111" s="24">
        <v>445055.46</v>
      </c>
      <c r="O111" s="24">
        <f>J111-N111</f>
        <v>5882215.54</v>
      </c>
      <c r="P111" s="25">
        <f t="shared" si="6"/>
        <v>7.0339244201805179E-2</v>
      </c>
    </row>
    <row r="112" spans="2:16" ht="24.75" customHeight="1" thickTop="1" thickBot="1" x14ac:dyDescent="0.3">
      <c r="B112" s="51" t="s">
        <v>154</v>
      </c>
      <c r="C112" s="52"/>
      <c r="D112" s="52"/>
      <c r="E112" s="52"/>
      <c r="F112" s="53"/>
      <c r="G112" s="54"/>
      <c r="H112" s="54">
        <f>SUM(H113:H116)</f>
        <v>53868153</v>
      </c>
      <c r="I112" s="54"/>
      <c r="J112" s="54">
        <f>SUM(J113:J116)</f>
        <v>100242798</v>
      </c>
      <c r="K112" s="54"/>
      <c r="L112" s="22">
        <f>SUM(L113:L116)</f>
        <v>3456517.34</v>
      </c>
      <c r="M112" s="22">
        <f>SUM(M113:M116)</f>
        <v>15181550.370000001</v>
      </c>
      <c r="N112" s="22">
        <f>SUM(N113:N116)</f>
        <v>42057696.460000001</v>
      </c>
      <c r="O112" s="22">
        <f>SUM(O113:O116)</f>
        <v>58185101.539999999</v>
      </c>
      <c r="P112" s="23">
        <f t="shared" si="6"/>
        <v>0.41955828547403479</v>
      </c>
    </row>
    <row r="113" spans="2:16" ht="24.75" customHeight="1" thickTop="1" thickBot="1" x14ac:dyDescent="0.3">
      <c r="B113" s="57" t="s">
        <v>150</v>
      </c>
      <c r="C113" s="58"/>
      <c r="D113" s="58"/>
      <c r="E113" s="58"/>
      <c r="F113" s="59"/>
      <c r="G113" s="60"/>
      <c r="H113" s="60">
        <f>4634737-277000</f>
        <v>4357737</v>
      </c>
      <c r="I113" s="60"/>
      <c r="J113" s="60">
        <v>4641388</v>
      </c>
      <c r="K113" s="60"/>
      <c r="L113" s="24">
        <v>1637189.23</v>
      </c>
      <c r="M113" s="24">
        <v>2339907</v>
      </c>
      <c r="N113" s="24">
        <v>3235459.66</v>
      </c>
      <c r="O113" s="24">
        <f t="shared" ref="O113:O119" si="7">J113-N113</f>
        <v>1405928.3399999999</v>
      </c>
      <c r="P113" s="25">
        <f t="shared" si="6"/>
        <v>0.69708881481143148</v>
      </c>
    </row>
    <row r="114" spans="2:16" ht="24.75" customHeight="1" thickTop="1" thickBot="1" x14ac:dyDescent="0.3">
      <c r="B114" s="57" t="s">
        <v>151</v>
      </c>
      <c r="C114" s="58"/>
      <c r="D114" s="58"/>
      <c r="E114" s="58"/>
      <c r="F114" s="59"/>
      <c r="G114" s="60"/>
      <c r="H114" s="60">
        <f>2367527-178770</f>
        <v>2188757</v>
      </c>
      <c r="I114" s="60"/>
      <c r="J114" s="60">
        <v>2403338</v>
      </c>
      <c r="K114" s="60"/>
      <c r="L114" s="24">
        <v>455320.49</v>
      </c>
      <c r="M114" s="24">
        <v>699891.89</v>
      </c>
      <c r="N114" s="24">
        <v>1189905.45</v>
      </c>
      <c r="O114" s="24">
        <f t="shared" si="7"/>
        <v>1213432.55</v>
      </c>
      <c r="P114" s="25">
        <f t="shared" si="6"/>
        <v>0.49510532850560346</v>
      </c>
    </row>
    <row r="115" spans="2:16" ht="24.75" customHeight="1" thickTop="1" thickBot="1" x14ac:dyDescent="0.3">
      <c r="B115" s="57" t="s">
        <v>152</v>
      </c>
      <c r="C115" s="58"/>
      <c r="D115" s="58"/>
      <c r="E115" s="58"/>
      <c r="F115" s="59"/>
      <c r="G115" s="60"/>
      <c r="H115" s="60">
        <f>590002-4482</f>
        <v>585520</v>
      </c>
      <c r="I115" s="60"/>
      <c r="J115" s="60">
        <v>1246376</v>
      </c>
      <c r="K115" s="60"/>
      <c r="L115" s="24">
        <v>10210.58</v>
      </c>
      <c r="M115" s="24">
        <v>12607.58</v>
      </c>
      <c r="N115" s="24">
        <v>501061.09</v>
      </c>
      <c r="O115" s="24">
        <f t="shared" si="7"/>
        <v>745314.90999999992</v>
      </c>
      <c r="P115" s="25">
        <f t="shared" si="6"/>
        <v>0.40201439212565071</v>
      </c>
    </row>
    <row r="116" spans="2:16" ht="24.75" customHeight="1" thickTop="1" thickBot="1" x14ac:dyDescent="0.3">
      <c r="B116" s="57" t="s">
        <v>153</v>
      </c>
      <c r="C116" s="58"/>
      <c r="D116" s="58"/>
      <c r="E116" s="58"/>
      <c r="F116" s="59"/>
      <c r="G116" s="60"/>
      <c r="H116" s="60">
        <f>46987153-251014</f>
        <v>46736139</v>
      </c>
      <c r="I116" s="60"/>
      <c r="J116" s="60">
        <v>91951696</v>
      </c>
      <c r="K116" s="60"/>
      <c r="L116" s="24">
        <v>1353797.04</v>
      </c>
      <c r="M116" s="24">
        <v>12129143.9</v>
      </c>
      <c r="N116" s="24">
        <v>37131270.259999998</v>
      </c>
      <c r="O116" s="24">
        <f t="shared" si="7"/>
        <v>54820425.740000002</v>
      </c>
      <c r="P116" s="25">
        <f t="shared" si="6"/>
        <v>0.40381278296378564</v>
      </c>
    </row>
    <row r="117" spans="2:16" ht="24.75" customHeight="1" thickTop="1" thickBot="1" x14ac:dyDescent="0.3">
      <c r="B117" s="51" t="s">
        <v>155</v>
      </c>
      <c r="C117" s="52"/>
      <c r="D117" s="52"/>
      <c r="E117" s="52"/>
      <c r="F117" s="53"/>
      <c r="G117" s="54"/>
      <c r="H117" s="54"/>
      <c r="I117" s="54"/>
      <c r="J117" s="54"/>
      <c r="K117" s="54"/>
      <c r="L117" s="22"/>
      <c r="M117" s="22"/>
      <c r="N117" s="22"/>
      <c r="O117" s="22">
        <f t="shared" si="7"/>
        <v>0</v>
      </c>
      <c r="P117" s="23"/>
    </row>
    <row r="118" spans="2:16" ht="24.75" customHeight="1" thickTop="1" thickBot="1" x14ac:dyDescent="0.3">
      <c r="B118" s="53" t="s">
        <v>156</v>
      </c>
      <c r="C118" s="52"/>
      <c r="D118" s="52"/>
      <c r="E118" s="52"/>
      <c r="F118" s="53"/>
      <c r="G118" s="54"/>
      <c r="H118" s="54">
        <f>H117+H112+H107</f>
        <v>86083745</v>
      </c>
      <c r="I118" s="54"/>
      <c r="J118" s="54">
        <f>J117+J112+J107</f>
        <v>133021307</v>
      </c>
      <c r="K118" s="54">
        <f>K117+K112+K107</f>
        <v>0</v>
      </c>
      <c r="L118" s="22">
        <f>L117+L112+L107</f>
        <v>12895029.449999999</v>
      </c>
      <c r="M118" s="22">
        <f>M117+M112+M107</f>
        <v>29795598.649999999</v>
      </c>
      <c r="N118" s="22">
        <f>N117+N112+N107</f>
        <v>64228678.109999999</v>
      </c>
      <c r="O118" s="22">
        <f t="shared" si="7"/>
        <v>68792628.890000001</v>
      </c>
      <c r="P118" s="23">
        <f t="shared" si="6"/>
        <v>0.48284503857716571</v>
      </c>
    </row>
    <row r="119" spans="2:16" ht="24.75" customHeight="1" thickTop="1" thickBot="1" x14ac:dyDescent="0.3">
      <c r="B119" s="51" t="s">
        <v>157</v>
      </c>
      <c r="C119" s="52"/>
      <c r="D119" s="52"/>
      <c r="E119" s="52"/>
      <c r="F119" s="53"/>
      <c r="G119" s="54"/>
      <c r="H119" s="55"/>
      <c r="I119" s="56"/>
      <c r="J119" s="55"/>
      <c r="K119" s="56"/>
      <c r="L119" s="22">
        <v>3003286.93</v>
      </c>
      <c r="M119" s="22">
        <v>50792431.119999997</v>
      </c>
      <c r="N119" s="22">
        <v>57688524.590000004</v>
      </c>
      <c r="O119" s="22">
        <f t="shared" si="7"/>
        <v>-57688524.590000004</v>
      </c>
      <c r="P119" s="23"/>
    </row>
    <row r="120" spans="2:16" ht="15.75" thickTop="1" x14ac:dyDescent="0.25"/>
  </sheetData>
  <mergeCells count="223">
    <mergeCell ref="B1:C1"/>
    <mergeCell ref="B2:C2"/>
    <mergeCell ref="D2:M2"/>
    <mergeCell ref="D3:P3"/>
    <mergeCell ref="D4:P4"/>
    <mergeCell ref="D5:P5"/>
    <mergeCell ref="B12:N12"/>
    <mergeCell ref="B13:P13"/>
    <mergeCell ref="B14:N14"/>
    <mergeCell ref="C15:N15"/>
    <mergeCell ref="B16:E16"/>
    <mergeCell ref="B6:N6"/>
    <mergeCell ref="B7:N7"/>
    <mergeCell ref="B8:N8"/>
    <mergeCell ref="B9:N9"/>
    <mergeCell ref="B10:N10"/>
    <mergeCell ref="B11:N11"/>
    <mergeCell ref="F16:G16"/>
    <mergeCell ref="C17:G17"/>
    <mergeCell ref="B24:O24"/>
    <mergeCell ref="C25:N25"/>
    <mergeCell ref="B26:E26"/>
    <mergeCell ref="B29:O29"/>
    <mergeCell ref="B19:O19"/>
    <mergeCell ref="C20:N20"/>
    <mergeCell ref="B21:E21"/>
    <mergeCell ref="F26:G26"/>
    <mergeCell ref="C27:G27"/>
    <mergeCell ref="C28:G28"/>
    <mergeCell ref="C23:G23"/>
    <mergeCell ref="C22:G22"/>
    <mergeCell ref="F21:G21"/>
    <mergeCell ref="C18:G18"/>
    <mergeCell ref="B36:E36"/>
    <mergeCell ref="B39:O39"/>
    <mergeCell ref="B40:N40"/>
    <mergeCell ref="C41:N41"/>
    <mergeCell ref="C30:N30"/>
    <mergeCell ref="B31:E31"/>
    <mergeCell ref="B34:O34"/>
    <mergeCell ref="C35:N35"/>
    <mergeCell ref="F31:G31"/>
    <mergeCell ref="C32:G32"/>
    <mergeCell ref="C33:G33"/>
    <mergeCell ref="C38:G38"/>
    <mergeCell ref="C37:G37"/>
    <mergeCell ref="F36:G36"/>
    <mergeCell ref="B48:O48"/>
    <mergeCell ref="C49:N49"/>
    <mergeCell ref="B50:E50"/>
    <mergeCell ref="B52:O52"/>
    <mergeCell ref="B53:N53"/>
    <mergeCell ref="B42:E42"/>
    <mergeCell ref="B44:O44"/>
    <mergeCell ref="C45:N45"/>
    <mergeCell ref="B46:E46"/>
    <mergeCell ref="F46:G46"/>
    <mergeCell ref="C47:G47"/>
    <mergeCell ref="F50:G50"/>
    <mergeCell ref="C51:G51"/>
    <mergeCell ref="F42:G42"/>
    <mergeCell ref="C43:G43"/>
    <mergeCell ref="B61:O61"/>
    <mergeCell ref="C62:N62"/>
    <mergeCell ref="B63:E63"/>
    <mergeCell ref="C54:N54"/>
    <mergeCell ref="B55:E55"/>
    <mergeCell ref="B57:O57"/>
    <mergeCell ref="C58:N58"/>
    <mergeCell ref="B59:E59"/>
    <mergeCell ref="C65:G65"/>
    <mergeCell ref="C64:G64"/>
    <mergeCell ref="F63:G63"/>
    <mergeCell ref="F59:G59"/>
    <mergeCell ref="C60:G60"/>
    <mergeCell ref="C56:G56"/>
    <mergeCell ref="F55:G55"/>
    <mergeCell ref="B66:O66"/>
    <mergeCell ref="B67:P67"/>
    <mergeCell ref="B68:G71"/>
    <mergeCell ref="H68:J69"/>
    <mergeCell ref="K68:L68"/>
    <mergeCell ref="M68:N68"/>
    <mergeCell ref="O68:P68"/>
    <mergeCell ref="K69:L69"/>
    <mergeCell ref="M69:N69"/>
    <mergeCell ref="O69:P69"/>
    <mergeCell ref="H70:J70"/>
    <mergeCell ref="K70:P70"/>
    <mergeCell ref="H71:J71"/>
    <mergeCell ref="K71:P71"/>
    <mergeCell ref="B72:P72"/>
    <mergeCell ref="B73:E73"/>
    <mergeCell ref="F73:G73"/>
    <mergeCell ref="H73:I73"/>
    <mergeCell ref="N73:P73"/>
    <mergeCell ref="H77:I77"/>
    <mergeCell ref="N77:P77"/>
    <mergeCell ref="B78:E78"/>
    <mergeCell ref="H78:I78"/>
    <mergeCell ref="N78:P78"/>
    <mergeCell ref="B79:E79"/>
    <mergeCell ref="H79:I79"/>
    <mergeCell ref="N79:P79"/>
    <mergeCell ref="B74:E74"/>
    <mergeCell ref="F74:P74"/>
    <mergeCell ref="B75:E75"/>
    <mergeCell ref="F75:G79"/>
    <mergeCell ref="H75:I75"/>
    <mergeCell ref="N75:P75"/>
    <mergeCell ref="B76:E76"/>
    <mergeCell ref="H76:I76"/>
    <mergeCell ref="N76:P76"/>
    <mergeCell ref="B77:E77"/>
    <mergeCell ref="B90:N90"/>
    <mergeCell ref="B80:E80"/>
    <mergeCell ref="F80:P80"/>
    <mergeCell ref="B81:E81"/>
    <mergeCell ref="F81:G83"/>
    <mergeCell ref="H81:I81"/>
    <mergeCell ref="N81:P81"/>
    <mergeCell ref="B82:E82"/>
    <mergeCell ref="H82:I82"/>
    <mergeCell ref="N82:P82"/>
    <mergeCell ref="B83:E83"/>
    <mergeCell ref="H83:I83"/>
    <mergeCell ref="N83:P83"/>
    <mergeCell ref="N86:P86"/>
    <mergeCell ref="B87:E87"/>
    <mergeCell ref="H87:I87"/>
    <mergeCell ref="N87:P87"/>
    <mergeCell ref="B88:E88"/>
    <mergeCell ref="F88:G88"/>
    <mergeCell ref="H88:M88"/>
    <mergeCell ref="N88:P88"/>
    <mergeCell ref="B84:E84"/>
    <mergeCell ref="F84:P84"/>
    <mergeCell ref="B85:E85"/>
    <mergeCell ref="F85:G87"/>
    <mergeCell ref="H85:I85"/>
    <mergeCell ref="N85:P85"/>
    <mergeCell ref="B86:E86"/>
    <mergeCell ref="H86:I86"/>
    <mergeCell ref="B95:C95"/>
    <mergeCell ref="D95:F95"/>
    <mergeCell ref="M95:N95"/>
    <mergeCell ref="B96:C96"/>
    <mergeCell ref="D96:F96"/>
    <mergeCell ref="M96:N96"/>
    <mergeCell ref="O91:O92"/>
    <mergeCell ref="P91:P92"/>
    <mergeCell ref="B93:C93"/>
    <mergeCell ref="D93:F93"/>
    <mergeCell ref="M93:N93"/>
    <mergeCell ref="B94:C94"/>
    <mergeCell ref="D94:F94"/>
    <mergeCell ref="M94:N94"/>
    <mergeCell ref="B91:C92"/>
    <mergeCell ref="D91:F92"/>
    <mergeCell ref="G91:I91"/>
    <mergeCell ref="J91:L91"/>
    <mergeCell ref="M91:N92"/>
    <mergeCell ref="B99:C99"/>
    <mergeCell ref="D99:F99"/>
    <mergeCell ref="M99:N99"/>
    <mergeCell ref="B100:C100"/>
    <mergeCell ref="D100:F100"/>
    <mergeCell ref="M100:N100"/>
    <mergeCell ref="B97:C97"/>
    <mergeCell ref="D97:F97"/>
    <mergeCell ref="M97:N97"/>
    <mergeCell ref="B98:C98"/>
    <mergeCell ref="D98:F98"/>
    <mergeCell ref="M98:N98"/>
    <mergeCell ref="B107:G107"/>
    <mergeCell ref="H107:I107"/>
    <mergeCell ref="J107:K107"/>
    <mergeCell ref="B108:G108"/>
    <mergeCell ref="H108:I108"/>
    <mergeCell ref="J108:K108"/>
    <mergeCell ref="B101:F101"/>
    <mergeCell ref="M101:N101"/>
    <mergeCell ref="B102:F103"/>
    <mergeCell ref="B104:P104"/>
    <mergeCell ref="B105:G106"/>
    <mergeCell ref="H105:I106"/>
    <mergeCell ref="J105:K106"/>
    <mergeCell ref="L105:N105"/>
    <mergeCell ref="O105:O106"/>
    <mergeCell ref="P105:P106"/>
    <mergeCell ref="B111:G111"/>
    <mergeCell ref="H111:I111"/>
    <mergeCell ref="J111:K111"/>
    <mergeCell ref="B112:G112"/>
    <mergeCell ref="H112:I112"/>
    <mergeCell ref="J112:K112"/>
    <mergeCell ref="B109:G109"/>
    <mergeCell ref="H109:I109"/>
    <mergeCell ref="J109:K109"/>
    <mergeCell ref="B110:G110"/>
    <mergeCell ref="H110:I110"/>
    <mergeCell ref="J110:K110"/>
    <mergeCell ref="B115:G115"/>
    <mergeCell ref="H115:I115"/>
    <mergeCell ref="J115:K115"/>
    <mergeCell ref="B116:G116"/>
    <mergeCell ref="H116:I116"/>
    <mergeCell ref="J116:K116"/>
    <mergeCell ref="B113:G113"/>
    <mergeCell ref="H113:I113"/>
    <mergeCell ref="J113:K113"/>
    <mergeCell ref="B114:G114"/>
    <mergeCell ref="H114:I114"/>
    <mergeCell ref="J114:K114"/>
    <mergeCell ref="B119:G119"/>
    <mergeCell ref="H119:I119"/>
    <mergeCell ref="J119:K119"/>
    <mergeCell ref="B117:G117"/>
    <mergeCell ref="H117:I117"/>
    <mergeCell ref="J117:K117"/>
    <mergeCell ref="B118:G118"/>
    <mergeCell ref="H118:I118"/>
    <mergeCell ref="J118:K118"/>
  </mergeCells>
  <conditionalFormatting sqref="O17">
    <cfRule type="containsText" dxfId="27" priority="1" operator="containsText" text="Atingiu">
      <formula>NOT(ISERROR(SEARCH("Atingiu",O17)))</formula>
    </cfRule>
  </conditionalFormatting>
  <conditionalFormatting sqref="O18">
    <cfRule type="containsText" dxfId="26" priority="2" operator="containsText" text="Atingiu">
      <formula>NOT(ISERROR(SEARCH("Atingiu",O18)))</formula>
    </cfRule>
  </conditionalFormatting>
  <conditionalFormatting sqref="O22">
    <cfRule type="containsText" dxfId="25" priority="3" operator="containsText" text="Atingiu">
      <formula>NOT(ISERROR(SEARCH("Atingiu",O22)))</formula>
    </cfRule>
  </conditionalFormatting>
  <conditionalFormatting sqref="O23">
    <cfRule type="containsText" dxfId="24" priority="4" operator="containsText" text="Atingiu">
      <formula>NOT(ISERROR(SEARCH("Atingiu",O23)))</formula>
    </cfRule>
  </conditionalFormatting>
  <conditionalFormatting sqref="O27">
    <cfRule type="containsText" dxfId="23" priority="5" operator="containsText" text="Atingiu">
      <formula>NOT(ISERROR(SEARCH("Atingiu",O27)))</formula>
    </cfRule>
  </conditionalFormatting>
  <conditionalFormatting sqref="O28">
    <cfRule type="containsText" dxfId="22" priority="6" operator="containsText" text="Atingiu">
      <formula>NOT(ISERROR(SEARCH("Atingiu",O28)))</formula>
    </cfRule>
  </conditionalFormatting>
  <conditionalFormatting sqref="O32">
    <cfRule type="containsText" dxfId="21" priority="7" operator="containsText" text="Atingiu">
      <formula>NOT(ISERROR(SEARCH("Atingiu",O32)))</formula>
    </cfRule>
  </conditionalFormatting>
  <conditionalFormatting sqref="O33">
    <cfRule type="containsText" dxfId="20" priority="8" operator="containsText" text="Atingiu">
      <formula>NOT(ISERROR(SEARCH("Atingiu",O33)))</formula>
    </cfRule>
  </conditionalFormatting>
  <conditionalFormatting sqref="O37">
    <cfRule type="containsText" dxfId="19" priority="9" operator="containsText" text="Atingiu">
      <formula>NOT(ISERROR(SEARCH("Atingiu",O37)))</formula>
    </cfRule>
  </conditionalFormatting>
  <conditionalFormatting sqref="O38">
    <cfRule type="containsText" dxfId="18" priority="10" operator="containsText" text="Atingiu">
      <formula>NOT(ISERROR(SEARCH("Atingiu",O38)))</formula>
    </cfRule>
  </conditionalFormatting>
  <conditionalFormatting sqref="O43">
    <cfRule type="containsText" dxfId="17" priority="11" operator="containsText" text="Atingiu">
      <formula>NOT(ISERROR(SEARCH("Atingiu",O43)))</formula>
    </cfRule>
  </conditionalFormatting>
  <conditionalFormatting sqref="O47">
    <cfRule type="containsText" dxfId="16" priority="12" operator="containsText" text="Atingiu">
      <formula>NOT(ISERROR(SEARCH("Atingiu",O47)))</formula>
    </cfRule>
  </conditionalFormatting>
  <conditionalFormatting sqref="O51">
    <cfRule type="containsText" dxfId="15" priority="13" operator="containsText" text="Atingiu">
      <formula>NOT(ISERROR(SEARCH("Atingiu",O51)))</formula>
    </cfRule>
  </conditionalFormatting>
  <conditionalFormatting sqref="O56">
    <cfRule type="containsText" dxfId="14" priority="14" operator="containsText" text="Atingiu">
      <formula>NOT(ISERROR(SEARCH("Atingiu",O56)))</formula>
    </cfRule>
  </conditionalFormatting>
  <conditionalFormatting sqref="O60">
    <cfRule type="containsText" dxfId="13" priority="15" operator="containsText" text="Atingiu">
      <formula>NOT(ISERROR(SEARCH("Atingiu",O60)))</formula>
    </cfRule>
  </conditionalFormatting>
  <conditionalFormatting sqref="O64">
    <cfRule type="containsText" dxfId="12" priority="16" operator="containsText" text="Atingiu">
      <formula>NOT(ISERROR(SEARCH("Atingiu",O64)))</formula>
    </cfRule>
  </conditionalFormatting>
  <conditionalFormatting sqref="O65">
    <cfRule type="containsText" dxfId="11" priority="17" operator="containsText" text="Atingiu">
      <formula>NOT(ISERROR(SEARCH("Atingiu",O65)))</formula>
    </cfRule>
  </conditionalFormatting>
  <conditionalFormatting sqref="M75">
    <cfRule type="containsText" dxfId="10" priority="18" operator="containsText" text="Atingiu">
      <formula>NOT(ISERROR(SEARCH("Atingiu",M75)))</formula>
    </cfRule>
  </conditionalFormatting>
  <conditionalFormatting sqref="M76">
    <cfRule type="containsText" dxfId="9" priority="19" operator="containsText" text="Atingiu">
      <formula>NOT(ISERROR(SEARCH("Atingiu",M76)))</formula>
    </cfRule>
  </conditionalFormatting>
  <conditionalFormatting sqref="M77">
    <cfRule type="containsText" dxfId="8" priority="20" operator="containsText" text="Atingiu">
      <formula>NOT(ISERROR(SEARCH("Atingiu",M77)))</formula>
    </cfRule>
  </conditionalFormatting>
  <conditionalFormatting sqref="M78">
    <cfRule type="containsText" dxfId="7" priority="21" operator="containsText" text="Atingiu">
      <formula>NOT(ISERROR(SEARCH("Atingiu",M78)))</formula>
    </cfRule>
  </conditionalFormatting>
  <conditionalFormatting sqref="M79">
    <cfRule type="containsText" dxfId="6" priority="22" operator="containsText" text="Atingiu">
      <formula>NOT(ISERROR(SEARCH("Atingiu",M79)))</formula>
    </cfRule>
  </conditionalFormatting>
  <conditionalFormatting sqref="M81">
    <cfRule type="containsText" dxfId="5" priority="23" operator="containsText" text="Atingiu">
      <formula>NOT(ISERROR(SEARCH("Atingiu",M81)))</formula>
    </cfRule>
  </conditionalFormatting>
  <conditionalFormatting sqref="M82">
    <cfRule type="containsText" dxfId="4" priority="24" operator="containsText" text="Atingiu">
      <formula>NOT(ISERROR(SEARCH("Atingiu",M82)))</formula>
    </cfRule>
  </conditionalFormatting>
  <conditionalFormatting sqref="M83">
    <cfRule type="containsText" dxfId="3" priority="25" operator="containsText" text="Atingiu">
      <formula>NOT(ISERROR(SEARCH("Atingiu",M83)))</formula>
    </cfRule>
  </conditionalFormatting>
  <conditionalFormatting sqref="M85">
    <cfRule type="containsText" dxfId="2" priority="26" operator="containsText" text="Atingiu">
      <formula>NOT(ISERROR(SEARCH("Atingiu",M85)))</formula>
    </cfRule>
  </conditionalFormatting>
  <conditionalFormatting sqref="M86">
    <cfRule type="containsText" dxfId="1" priority="27" operator="containsText" text="Atingiu">
      <formula>NOT(ISERROR(SEARCH("Atingiu",M86)))</formula>
    </cfRule>
  </conditionalFormatting>
  <conditionalFormatting sqref="M87">
    <cfRule type="containsText" dxfId="0" priority="28" operator="containsText" text="Atingiu">
      <formula>NOT(ISERROR(SEARCH("Atingiu",M87)))</formula>
    </cfRule>
  </conditionalFormatting>
  <pageMargins left="0.75" right="0.75" top="0.75" bottom="0.5" header="0.5" footer="0.7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8942-B674-43AD-8402-FC114029C4C5}">
  <sheetPr>
    <tabColor rgb="FF0070FF"/>
  </sheetPr>
  <dimension ref="A1:E20"/>
  <sheetViews>
    <sheetView workbookViewId="0">
      <selection activeCell="D23" sqref="D23"/>
    </sheetView>
  </sheetViews>
  <sheetFormatPr defaultRowHeight="15" x14ac:dyDescent="0.25"/>
  <cols>
    <col min="1" max="2" width="62.7109375" style="43" customWidth="1"/>
    <col min="3" max="3" width="14.5703125" style="43" customWidth="1"/>
    <col min="4" max="4" width="13" style="43" customWidth="1"/>
    <col min="5" max="5" width="16" style="43" customWidth="1"/>
    <col min="6" max="6" width="9.140625" style="43" customWidth="1"/>
    <col min="7" max="16384" width="9.140625" style="43"/>
  </cols>
  <sheetData>
    <row r="1" spans="1:5" ht="48.75" thickTop="1" thickBot="1" x14ac:dyDescent="0.3">
      <c r="A1" s="46" t="s">
        <v>170</v>
      </c>
      <c r="B1" s="46" t="s">
        <v>93</v>
      </c>
      <c r="C1" s="46" t="s">
        <v>171</v>
      </c>
      <c r="D1" s="46" t="s">
        <v>172</v>
      </c>
      <c r="E1" s="46" t="s">
        <v>173</v>
      </c>
    </row>
    <row r="2" spans="1:5" ht="45.75" customHeight="1" thickTop="1" thickBot="1" x14ac:dyDescent="0.3">
      <c r="A2" s="47" t="s">
        <v>13</v>
      </c>
      <c r="B2" s="47" t="s">
        <v>55</v>
      </c>
      <c r="C2" s="50">
        <v>1</v>
      </c>
      <c r="D2" s="50">
        <v>1.2867999999999999</v>
      </c>
      <c r="E2" s="50">
        <f>C2*D2</f>
        <v>1.2867999999999999</v>
      </c>
    </row>
    <row r="3" spans="1:5" ht="27" customHeight="1" thickTop="1" thickBot="1" x14ac:dyDescent="0.3">
      <c r="A3" s="123" t="s">
        <v>174</v>
      </c>
      <c r="B3" s="124"/>
      <c r="C3" s="124"/>
      <c r="D3" s="124"/>
      <c r="E3" s="48">
        <f>E2</f>
        <v>1.2867999999999999</v>
      </c>
    </row>
    <row r="4" spans="1:5" ht="45.75" customHeight="1" thickTop="1" thickBot="1" x14ac:dyDescent="0.3">
      <c r="A4" s="126" t="s">
        <v>14</v>
      </c>
      <c r="B4" s="47" t="s">
        <v>45</v>
      </c>
      <c r="C4" s="50">
        <v>0.5</v>
      </c>
      <c r="D4" s="50">
        <v>1.2172000000000001</v>
      </c>
      <c r="E4" s="50">
        <f>C4*D4</f>
        <v>0.60860000000000003</v>
      </c>
    </row>
    <row r="5" spans="1:5" ht="45.75" customHeight="1" thickTop="1" thickBot="1" x14ac:dyDescent="0.3">
      <c r="A5" s="127" t="s">
        <v>14</v>
      </c>
      <c r="B5" s="47" t="s">
        <v>50</v>
      </c>
      <c r="C5" s="50">
        <v>0.5</v>
      </c>
      <c r="D5" s="50">
        <v>1.25</v>
      </c>
      <c r="E5" s="50">
        <f>C5*D5</f>
        <v>0.625</v>
      </c>
    </row>
    <row r="6" spans="1:5" ht="27" customHeight="1" thickTop="1" thickBot="1" x14ac:dyDescent="0.3">
      <c r="A6" s="123" t="s">
        <v>174</v>
      </c>
      <c r="B6" s="124"/>
      <c r="C6" s="124"/>
      <c r="D6" s="124"/>
      <c r="E6" s="48">
        <f>E5+E4</f>
        <v>1.2336</v>
      </c>
    </row>
    <row r="7" spans="1:5" ht="45.75" customHeight="1" thickTop="1" thickBot="1" x14ac:dyDescent="0.3">
      <c r="A7" s="122" t="s">
        <v>15</v>
      </c>
      <c r="B7" s="47" t="s">
        <v>62</v>
      </c>
      <c r="C7" s="50">
        <v>0.2</v>
      </c>
      <c r="D7" s="50">
        <v>1.25</v>
      </c>
      <c r="E7" s="50">
        <f>C7*D7</f>
        <v>0.25</v>
      </c>
    </row>
    <row r="8" spans="1:5" ht="45.75" customHeight="1" thickTop="1" thickBot="1" x14ac:dyDescent="0.3">
      <c r="A8" s="122" t="s">
        <v>15</v>
      </c>
      <c r="B8" s="47" t="s">
        <v>68</v>
      </c>
      <c r="C8" s="50">
        <v>0.4</v>
      </c>
      <c r="D8" s="50">
        <v>1</v>
      </c>
      <c r="E8" s="50">
        <f>C8*D8</f>
        <v>0.4</v>
      </c>
    </row>
    <row r="9" spans="1:5" ht="45.75" customHeight="1" thickTop="1" thickBot="1" x14ac:dyDescent="0.3">
      <c r="A9" s="122" t="s">
        <v>15</v>
      </c>
      <c r="B9" s="47" t="s">
        <v>72</v>
      </c>
      <c r="C9" s="50">
        <v>0.4</v>
      </c>
      <c r="D9" s="50">
        <v>1.4666999999999999</v>
      </c>
      <c r="E9" s="50">
        <f>C9*D9</f>
        <v>0.58667999999999998</v>
      </c>
    </row>
    <row r="10" spans="1:5" ht="27" customHeight="1" thickTop="1" thickBot="1" x14ac:dyDescent="0.3">
      <c r="A10" s="123" t="s">
        <v>174</v>
      </c>
      <c r="B10" s="124"/>
      <c r="C10" s="124"/>
      <c r="D10" s="124"/>
      <c r="E10" s="48">
        <f>E9+E7+E8</f>
        <v>1.23668</v>
      </c>
    </row>
    <row r="11" spans="1:5" ht="45.75" customHeight="1" thickTop="1" thickBot="1" x14ac:dyDescent="0.3">
      <c r="A11" s="47" t="s">
        <v>16</v>
      </c>
      <c r="B11" s="47" t="s">
        <v>23</v>
      </c>
      <c r="C11" s="50">
        <v>1</v>
      </c>
      <c r="D11" s="50">
        <v>1.4822</v>
      </c>
      <c r="E11" s="50">
        <f>C11*D11</f>
        <v>1.4822</v>
      </c>
    </row>
    <row r="12" spans="1:5" ht="27" customHeight="1" thickTop="1" thickBot="1" x14ac:dyDescent="0.3">
      <c r="A12" s="123" t="s">
        <v>174</v>
      </c>
      <c r="B12" s="124"/>
      <c r="C12" s="124"/>
      <c r="D12" s="124"/>
      <c r="E12" s="48">
        <f>E11</f>
        <v>1.4822</v>
      </c>
    </row>
    <row r="13" spans="1:5" ht="45.75" customHeight="1" thickTop="1" thickBot="1" x14ac:dyDescent="0.3">
      <c r="A13" s="122" t="s">
        <v>17</v>
      </c>
      <c r="B13" s="47" t="s">
        <v>39</v>
      </c>
      <c r="C13" s="50">
        <v>0.4</v>
      </c>
      <c r="D13" s="50">
        <v>1.1499999999999999</v>
      </c>
      <c r="E13" s="50">
        <f>C13*D13</f>
        <v>0.45999999999999996</v>
      </c>
    </row>
    <row r="14" spans="1:5" ht="45.75" customHeight="1" thickTop="1" thickBot="1" x14ac:dyDescent="0.3">
      <c r="A14" s="122" t="s">
        <v>17</v>
      </c>
      <c r="B14" s="47" t="s">
        <v>65</v>
      </c>
      <c r="C14" s="50">
        <v>0.3</v>
      </c>
      <c r="D14" s="50">
        <v>1.4438</v>
      </c>
      <c r="E14" s="50">
        <f>C14*D14</f>
        <v>0.43313999999999997</v>
      </c>
    </row>
    <row r="15" spans="1:5" ht="45.75" customHeight="1" thickTop="1" thickBot="1" x14ac:dyDescent="0.3">
      <c r="A15" s="122" t="s">
        <v>17</v>
      </c>
      <c r="B15" s="47" t="s">
        <v>79</v>
      </c>
      <c r="C15" s="50">
        <v>0.3</v>
      </c>
      <c r="D15" s="50">
        <v>1.3619000000000001</v>
      </c>
      <c r="E15" s="50">
        <f>C15*D15</f>
        <v>0.40857000000000004</v>
      </c>
    </row>
    <row r="16" spans="1:5" ht="27" customHeight="1" thickTop="1" thickBot="1" x14ac:dyDescent="0.3">
      <c r="A16" s="123" t="s">
        <v>174</v>
      </c>
      <c r="B16" s="124"/>
      <c r="C16" s="124"/>
      <c r="D16" s="124"/>
      <c r="E16" s="48">
        <f>E15+E13+E14</f>
        <v>1.3017099999999999</v>
      </c>
    </row>
    <row r="17" spans="1:5" ht="45.75" customHeight="1" thickTop="1" thickBot="1" x14ac:dyDescent="0.3">
      <c r="A17" s="47" t="s">
        <v>18</v>
      </c>
      <c r="B17" s="47" t="s">
        <v>76</v>
      </c>
      <c r="C17" s="50">
        <v>1</v>
      </c>
      <c r="D17" s="50">
        <v>1</v>
      </c>
      <c r="E17" s="50">
        <f>C17*D17</f>
        <v>1</v>
      </c>
    </row>
    <row r="18" spans="1:5" ht="27" customHeight="1" thickTop="1" thickBot="1" x14ac:dyDescent="0.3">
      <c r="A18" s="123" t="s">
        <v>174</v>
      </c>
      <c r="B18" s="124"/>
      <c r="C18" s="124"/>
      <c r="D18" s="124"/>
      <c r="E18" s="48">
        <f>E17</f>
        <v>1</v>
      </c>
    </row>
    <row r="19" spans="1:5" ht="45.75" customHeight="1" thickTop="1" thickBot="1" x14ac:dyDescent="0.3">
      <c r="A19" s="125" t="s">
        <v>175</v>
      </c>
      <c r="B19" s="124"/>
      <c r="C19" s="124"/>
      <c r="D19" s="124"/>
      <c r="E19" s="49">
        <f>(E3+E6+E10+E12+E16+E18)/6</f>
        <v>1.2568316666666666</v>
      </c>
    </row>
    <row r="20" spans="1:5" ht="15.75" thickTop="1" x14ac:dyDescent="0.25"/>
  </sheetData>
  <mergeCells count="10">
    <mergeCell ref="A13:A15"/>
    <mergeCell ref="A16:D16"/>
    <mergeCell ref="A18:D18"/>
    <mergeCell ref="A19:D19"/>
    <mergeCell ref="A3:D3"/>
    <mergeCell ref="A4:A5"/>
    <mergeCell ref="A6:D6"/>
    <mergeCell ref="A7:A9"/>
    <mergeCell ref="A10:D10"/>
    <mergeCell ref="A12:D12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QUAR2024</vt:lpstr>
      <vt:lpstr>OE_OP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 Esteves Cunha</dc:creator>
  <cp:lastModifiedBy>Anselmo Esteves Cunha</cp:lastModifiedBy>
  <dcterms:created xsi:type="dcterms:W3CDTF">2025-05-29T16:20:50Z</dcterms:created>
  <dcterms:modified xsi:type="dcterms:W3CDTF">2025-06-17T13:52:07Z</dcterms:modified>
</cp:coreProperties>
</file>